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65476" windowWidth="10275" windowHeight="8145" tabRatio="673" activeTab="0"/>
  </bookViews>
  <sheets>
    <sheet name="Income Stt" sheetId="1" r:id="rId1"/>
    <sheet name="Balance Sheet" sheetId="2" r:id="rId2"/>
    <sheet name="Changes in Equity" sheetId="3" r:id="rId3"/>
    <sheet name="Cash Flow Stt" sheetId="4" r:id="rId4"/>
  </sheets>
  <definedNames>
    <definedName name="_xlnm.Print_Area" localSheetId="1">'Balance Sheet'!$A$1:$D$62</definedName>
    <definedName name="_xlnm.Print_Area" localSheetId="3">'Cash Flow Stt'!$A$1:$D$67</definedName>
    <definedName name="_xlnm.Print_Area" localSheetId="2">'Changes in Equity'!$A$1:$H$40</definedName>
    <definedName name="_xlnm.Print_Area" localSheetId="0">'Income Stt'!$A$1:$G$43</definedName>
  </definedNames>
  <calcPr fullCalcOnLoad="1"/>
</workbook>
</file>

<file path=xl/comments3.xml><?xml version="1.0" encoding="utf-8"?>
<comments xmlns="http://schemas.openxmlformats.org/spreadsheetml/2006/main">
  <authors>
    <author>megan</author>
  </authors>
  <commentList>
    <comment ref="H35" authorId="0">
      <text>
        <r>
          <rPr>
            <b/>
            <sz val="9"/>
            <rFont val="Tahoma"/>
            <family val="2"/>
          </rPr>
          <t>megan:</t>
        </r>
        <r>
          <rPr>
            <sz val="9"/>
            <rFont val="Tahoma"/>
            <family val="2"/>
          </rPr>
          <t xml:space="preserve">
reported last year before restoration costs.</t>
        </r>
      </text>
    </comment>
    <comment ref="I35" authorId="0">
      <text>
        <r>
          <rPr>
            <b/>
            <sz val="9"/>
            <rFont val="Tahoma"/>
            <family val="2"/>
          </rPr>
          <t>megan:</t>
        </r>
        <r>
          <rPr>
            <sz val="9"/>
            <rFont val="Tahoma"/>
            <family val="2"/>
          </rPr>
          <t xml:space="preserve">
restoration cost impact
</t>
        </r>
      </text>
    </comment>
  </commentList>
</comments>
</file>

<file path=xl/sharedStrings.xml><?xml version="1.0" encoding="utf-8"?>
<sst xmlns="http://schemas.openxmlformats.org/spreadsheetml/2006/main" count="165" uniqueCount="135">
  <si>
    <t>3 months ended</t>
  </si>
  <si>
    <t>RM '000</t>
  </si>
  <si>
    <t>Revenue</t>
  </si>
  <si>
    <t>Cost of Sales</t>
  </si>
  <si>
    <t>Gross Profit</t>
  </si>
  <si>
    <t>Profit before tax</t>
  </si>
  <si>
    <t>Income tax expense</t>
  </si>
  <si>
    <t>Profit for the period</t>
  </si>
  <si>
    <t>As at</t>
  </si>
  <si>
    <t>ASSETS</t>
  </si>
  <si>
    <t>Non-Current Assets</t>
  </si>
  <si>
    <t>Property, plant and equipment</t>
  </si>
  <si>
    <t>Deferred tax assets</t>
  </si>
  <si>
    <t>Current Assets</t>
  </si>
  <si>
    <t>Inventories</t>
  </si>
  <si>
    <t>Trade receivables</t>
  </si>
  <si>
    <t>Other receivables</t>
  </si>
  <si>
    <t>TOTAL ASSETS</t>
  </si>
  <si>
    <t>EQUITY AND LIABILITIES</t>
  </si>
  <si>
    <t>Share capital</t>
  </si>
  <si>
    <t>Share premium</t>
  </si>
  <si>
    <t>Other reserves</t>
  </si>
  <si>
    <t>Retained earnings</t>
  </si>
  <si>
    <t>Total Equity</t>
  </si>
  <si>
    <t>Provisions for other liabilities</t>
  </si>
  <si>
    <t>Deferred tax liabilites</t>
  </si>
  <si>
    <t>Current Liabilities</t>
  </si>
  <si>
    <t>Trade payables</t>
  </si>
  <si>
    <t>Other payables</t>
  </si>
  <si>
    <t>Current tax payable</t>
  </si>
  <si>
    <t>Dividends payable</t>
  </si>
  <si>
    <t>Total Liabilities</t>
  </si>
  <si>
    <r>
      <t xml:space="preserve">PADINI HOLDINGS BERHAD </t>
    </r>
    <r>
      <rPr>
        <b/>
        <u val="single"/>
        <sz val="8"/>
        <rFont val="Arial Narrow"/>
        <family val="2"/>
      </rPr>
      <t>(Company No.: 50202-A)</t>
    </r>
  </si>
  <si>
    <t>Distributable</t>
  </si>
  <si>
    <t>Net Asset per share (in RM)</t>
  </si>
  <si>
    <t>Diluted earnings is not applicable for the Group.</t>
  </si>
  <si>
    <t>Intangible assets</t>
  </si>
  <si>
    <t>CASH FLOW FROM OPERATING ACTIVITIES</t>
  </si>
  <si>
    <t>Adjustments for:</t>
  </si>
  <si>
    <t>Receivables</t>
  </si>
  <si>
    <t>Payables</t>
  </si>
  <si>
    <t>Interest expense</t>
  </si>
  <si>
    <t>CASH FLOW FROM INVESTING ACTIVITIES</t>
  </si>
  <si>
    <t>Interest income</t>
  </si>
  <si>
    <t>CASH FLOW FROM FINANCING ACTIVITIES</t>
  </si>
  <si>
    <t>Changes in short term borrowings</t>
  </si>
  <si>
    <t>Effect of exchange rate changes</t>
  </si>
  <si>
    <t>Cash and cash equivalents b/f</t>
  </si>
  <si>
    <t>Cash and cash equivalents c/f</t>
  </si>
  <si>
    <t>Foreign currency translation</t>
  </si>
  <si>
    <t>Total comprehensive income for the financial period</t>
  </si>
  <si>
    <t>Profit attributable to:</t>
  </si>
  <si>
    <t>Owners of the parent</t>
  </si>
  <si>
    <t>Total comprehensive income attributable to:</t>
  </si>
  <si>
    <t>Investment in club membership</t>
  </si>
  <si>
    <t>Available for sale equity instruments</t>
  </si>
  <si>
    <t>Net cash generated from operations</t>
  </si>
  <si>
    <t>Net cash used in financing activities</t>
  </si>
  <si>
    <t>Financial assets at fair value through profit and loss</t>
  </si>
  <si>
    <t>Net increase / (decrease) in cash and cash equivalents</t>
  </si>
  <si>
    <t>UNAUDITED CONDENSED CONSOLIDATED STATEMENT OF CHANGES IN EQUITY</t>
  </si>
  <si>
    <t>UNAUDITED CONDENSED CONSOLIDATED STATEMENT OF CASH FLOWS</t>
  </si>
  <si>
    <t>(Restated)
RM '000</t>
  </si>
  <si>
    <r>
      <t>(Restated</t>
    </r>
    <r>
      <rPr>
        <b/>
        <sz val="10"/>
        <rFont val="Arial Narrow"/>
        <family val="2"/>
      </rPr>
      <t>)
RM '000</t>
    </r>
  </si>
  <si>
    <t>FOR THE FINANCIAL PERIOD ENDED 30 JUNE 2013</t>
  </si>
  <si>
    <t>Current tax assets</t>
  </si>
  <si>
    <t>Cash and cash equivalents</t>
  </si>
  <si>
    <t>Equity attributable to owners of the parent</t>
  </si>
  <si>
    <t>Non-Current Liabilities</t>
  </si>
  <si>
    <t>UNAUDITED CONDENSED CONSOLIDATED STATEMENT OF PROFIT AND LOSS AND OTHER COMPREHENSIVE INCOME</t>
  </si>
  <si>
    <t>Other Income</t>
  </si>
  <si>
    <t>Selling and distribution costs</t>
  </si>
  <si>
    <t>Finance costs</t>
  </si>
  <si>
    <t>Tax refunded</t>
  </si>
  <si>
    <t>Dividends paid</t>
  </si>
  <si>
    <t>Administrative expenses</t>
  </si>
  <si>
    <t>Foreign currency translations</t>
  </si>
  <si>
    <t>Items that may be reclassified subsequently to profit and loss:</t>
  </si>
  <si>
    <t>Other comprehensive income, net of tax</t>
  </si>
  <si>
    <t>Earnings per ordinary share attributable to owners of the parent:</t>
  </si>
  <si>
    <t>Basic</t>
  </si>
  <si>
    <t>UNAUDITED CONDENSED CONSOLIDATED STATEMENTS OF FINANCIAL POSITION</t>
  </si>
  <si>
    <t>Investment property</t>
  </si>
  <si>
    <t>Loans and borrowings</t>
  </si>
  <si>
    <t>Provision for restoration cost</t>
  </si>
  <si>
    <t>TOTAL EQUITY AND LIABILITIES</t>
  </si>
  <si>
    <t>Balance as at 1 July 2012 (Restated)</t>
  </si>
  <si>
    <t>Profit for the financial year</t>
  </si>
  <si>
    <t>Total comprehensive income</t>
  </si>
  <si>
    <t>Transactions with owners</t>
  </si>
  <si>
    <t>Total transactions with owners</t>
  </si>
  <si>
    <t>Effect of the adoption of MFRS 1</t>
  </si>
  <si>
    <t>Foreign exchange reserves</t>
  </si>
  <si>
    <t>Attributable to owners of the parent</t>
  </si>
  <si>
    <t>Total equity</t>
  </si>
  <si>
    <t>Non-distributable</t>
  </si>
  <si>
    <t>Amortisation of intangible assets</t>
  </si>
  <si>
    <t>Changes in fair value of investment property</t>
  </si>
  <si>
    <t>Dividend income</t>
  </si>
  <si>
    <t>Unrealised (gain)/loss on foreign exchange</t>
  </si>
  <si>
    <t>Fair value gain on financial assets at fair value through profit or loss</t>
  </si>
  <si>
    <t>Bad debts written off</t>
  </si>
  <si>
    <t>Gain on disposal of property, plant and equipment</t>
  </si>
  <si>
    <t>Property, plant and equipment written off</t>
  </si>
  <si>
    <t>Depreciation of property, plant and equipment</t>
  </si>
  <si>
    <t>Inventory loss</t>
  </si>
  <si>
    <t>Inventories written off</t>
  </si>
  <si>
    <t>Inventories written down to net realisable value</t>
  </si>
  <si>
    <t>Operating profit before changes in working capital</t>
  </si>
  <si>
    <t>Interest paid</t>
  </si>
  <si>
    <t>Tax paid</t>
  </si>
  <si>
    <t>Net cash from operating activities</t>
  </si>
  <si>
    <t>Proceeds from disposal of financial assets at fair value through profit or loss</t>
  </si>
  <si>
    <t>Addition in financial assets at fair value through profit or loss</t>
  </si>
  <si>
    <t>Proceeds from disposals of  property, plant and equipment</t>
  </si>
  <si>
    <t>Interest received</t>
  </si>
  <si>
    <t>Purchase of  property, plant and equipment and intangible assets</t>
  </si>
  <si>
    <t>Net cash used in investing activities</t>
  </si>
  <si>
    <t>Repayments of term loans</t>
  </si>
  <si>
    <t>Repayments of hire purchases and lease creditors</t>
  </si>
  <si>
    <t>The unaudited condensed consolidated statements of profit or loss and other comprehensive income should be read in conjunction with the audited financial statements for the financial year ended 30 June 2013 and the accompanying explanatory notes attached to the interim financial statements.</t>
  </si>
  <si>
    <t>Balance as at 1 July 2013</t>
  </si>
  <si>
    <t>Restated balance as at 1 July 2012</t>
  </si>
  <si>
    <t>Available for sale reserves</t>
  </si>
  <si>
    <t>The unaudited condensed consolidated statement of changes in equity should be read in conjunction with the audited financial statements for the financial year ended 30 June 2013 and the accompanying explanatory notes attached to the interim financial statements.</t>
  </si>
  <si>
    <t>The unaudited condensed consolidated statement of cash flows should be read in conjunction with the audited financial statements for the financial year ended 30 June 2013 and the accompanying explanatory notes attached to the interim financial statements.</t>
  </si>
  <si>
    <t>The unaudited condensed consolidated statements of financial position should be read in conjunction with the audited financial statements for the financial year ended 30 June 2013 and the accompanying explanatory notes attached to the interim financial statements.</t>
  </si>
  <si>
    <t>Restoration Finance Cost</t>
  </si>
  <si>
    <t>Date : 26 · 02 · 2014</t>
  </si>
  <si>
    <t>FOR THE FINANCIAL QUARTER ENDED 31 DECEMBER 2013</t>
  </si>
  <si>
    <t>Balance as at 31 December 2013</t>
  </si>
  <si>
    <t>Balance as at 31 December 2012 (Restated)</t>
  </si>
  <si>
    <t>FOR THE FINANCIAL PERIOD ENDED 31 DECEMBER 2013</t>
  </si>
  <si>
    <t>6 months ended</t>
  </si>
  <si>
    <t>Drawdown of Hire Purchase</t>
  </si>
</sst>
</file>

<file path=xl/styles.xml><?xml version="1.0" encoding="utf-8"?>
<styleSheet xmlns="http://schemas.openxmlformats.org/spreadsheetml/2006/main">
  <numFmts count="36">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409]dddd\,\ mmmm\ dd\,\ yyyy"/>
    <numFmt numFmtId="171" formatCode="[$-409]dd\ mmmm\ yyyy;@"/>
    <numFmt numFmtId="172" formatCode="_(* #,##0.0_);_(* \(#,##0.0\);_(* &quot;-&quot;??_);_(@_)"/>
    <numFmt numFmtId="173" formatCode="_(* #,##0_);_(* \(#,##0\);_(* &quot;-&quot;??_);_(@_)"/>
    <numFmt numFmtId="174" formatCode="#,##0.00\ [$sen-41B]"/>
    <numFmt numFmtId="175" formatCode="_(* #,##0.00_ [$sen-41B]\);_(* \(#,##0.00\ [$sen-41B]\);_(* &quot;-&quot;??_ [$sen-41B]\);_(@_)"/>
    <numFmt numFmtId="176" formatCode="_(* #,##0.00_ \)\ [$sen-41B];_(* \(#,##0.00\)\ [$sen-41B];_(* &quot;-&quot;??_)\ [$sen-41B];_(@_)"/>
    <numFmt numFmtId="177" formatCode="_(* #,##0.00_ \ [$sen-41B];_(* \(#,##0.00\)\ [$sen-41B];_(* &quot;-&quot;??_)\ [$sen-41B];_(@_)"/>
    <numFmt numFmtId="178" formatCode="0.0%"/>
    <numFmt numFmtId="179" formatCode="_(* #,##0.000_);_(* \(#,##0.000\);_(* &quot;-&quot;??_);_(@_)"/>
    <numFmt numFmtId="180" formatCode="_(* #,##0.0000_);_(* \(#,##0.0000\);_(* &quot;-&quot;??_);_(@_)"/>
    <numFmt numFmtId="181" formatCode="_(* #,##0.0_);_(* \(#,##0.0\);_(* &quot;-&quot;?_);_(@_)"/>
    <numFmt numFmtId="182" formatCode="[$-409]h:mm:ss\ AM/PM"/>
    <numFmt numFmtId="183" formatCode="[$-F800]dddd\,\ mmmm\ dd\,\ yyyy"/>
    <numFmt numFmtId="184" formatCode="[$-409]d\-mmm\-yy;@"/>
    <numFmt numFmtId="185" formatCode="_(* #,##0.000_);_(* \(#,##0.000\);_(* &quot;-&quot;???_);_(@_)"/>
    <numFmt numFmtId="186" formatCode="_(* #,##0.0000_);_(* \(#,##0.0000\);_(* &quot;-&quot;????_);_(@_)"/>
    <numFmt numFmtId="187" formatCode="&quot;Yes&quot;;&quot;Yes&quot;;&quot;No&quot;"/>
    <numFmt numFmtId="188" formatCode="&quot;True&quot;;&quot;True&quot;;&quot;False&quot;"/>
    <numFmt numFmtId="189" formatCode="&quot;On&quot;;&quot;On&quot;;&quot;Off&quot;"/>
    <numFmt numFmtId="190" formatCode="[$€-2]\ #,##0.00_);[Red]\([$€-2]\ #,##0.00\)"/>
    <numFmt numFmtId="191" formatCode="#,##0_);[Red]\(#,##0\);_(* &quot;-&quot;_);_(@_)"/>
  </numFmts>
  <fonts count="54">
    <font>
      <sz val="10"/>
      <name val="Arial Narrow"/>
      <family val="0"/>
    </font>
    <font>
      <sz val="8"/>
      <name val="Arial Narrow"/>
      <family val="2"/>
    </font>
    <font>
      <b/>
      <sz val="10"/>
      <name val="Arial Narrow"/>
      <family val="2"/>
    </font>
    <font>
      <b/>
      <u val="single"/>
      <sz val="10"/>
      <name val="Arial Narrow"/>
      <family val="2"/>
    </font>
    <font>
      <b/>
      <u val="single"/>
      <sz val="8"/>
      <name val="Arial Narrow"/>
      <family val="2"/>
    </font>
    <font>
      <b/>
      <i/>
      <sz val="10"/>
      <name val="Arial Narrow"/>
      <family val="2"/>
    </font>
    <font>
      <b/>
      <u val="single"/>
      <sz val="11"/>
      <name val="Arial Narrow"/>
      <family val="2"/>
    </font>
    <font>
      <b/>
      <sz val="10.5"/>
      <name val="Arial Narrow"/>
      <family val="2"/>
    </font>
    <font>
      <i/>
      <sz val="10"/>
      <name val="Arial Narrow"/>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Narrow"/>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Narrow"/>
      <family val="2"/>
    </font>
    <font>
      <b/>
      <sz val="10"/>
      <color indexed="10"/>
      <name val="Arial Narrow"/>
      <family val="2"/>
    </font>
    <font>
      <b/>
      <sz val="10"/>
      <color indexed="9"/>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Narrow"/>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Narrow"/>
      <family val="2"/>
    </font>
    <font>
      <b/>
      <sz val="10"/>
      <color rgb="FFFF0000"/>
      <name val="Arial Narrow"/>
      <family val="2"/>
    </font>
    <font>
      <b/>
      <sz val="10"/>
      <color theme="0"/>
      <name val="Arial Narrow"/>
      <family val="2"/>
    </font>
    <font>
      <b/>
      <sz val="8"/>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
      <left>
        <color indexed="63"/>
      </left>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style="mediu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09">
    <xf numFmtId="0" fontId="0" fillId="0" borderId="0" xfId="0" applyAlignment="1">
      <alignment/>
    </xf>
    <xf numFmtId="0" fontId="0" fillId="0" borderId="0" xfId="0" applyFont="1" applyFill="1" applyAlignment="1">
      <alignment horizontal="right"/>
    </xf>
    <xf numFmtId="0" fontId="6" fillId="0" borderId="0" xfId="0" applyFont="1" applyFill="1" applyAlignment="1">
      <alignment/>
    </xf>
    <xf numFmtId="0" fontId="2" fillId="0" borderId="0" xfId="0" applyFont="1" applyFill="1" applyAlignment="1">
      <alignment horizontal="center"/>
    </xf>
    <xf numFmtId="43" fontId="2" fillId="0" borderId="0" xfId="42" applyFont="1" applyFill="1" applyAlignment="1">
      <alignment/>
    </xf>
    <xf numFmtId="43" fontId="0" fillId="0" borderId="0" xfId="42" applyFont="1" applyFill="1" applyAlignment="1">
      <alignment horizontal="right"/>
    </xf>
    <xf numFmtId="0" fontId="7" fillId="0" borderId="0" xfId="0" applyFont="1" applyFill="1" applyAlignment="1">
      <alignment/>
    </xf>
    <xf numFmtId="43" fontId="2" fillId="0" borderId="0" xfId="42" applyFont="1" applyFill="1" applyAlignment="1">
      <alignment horizontal="center"/>
    </xf>
    <xf numFmtId="0" fontId="2" fillId="0" borderId="0" xfId="0" applyFont="1" applyFill="1" applyAlignment="1">
      <alignment horizontal="center" wrapText="1"/>
    </xf>
    <xf numFmtId="43" fontId="2" fillId="0" borderId="0" xfId="42" applyFont="1" applyFill="1" applyAlignment="1">
      <alignment horizontal="center" wrapText="1"/>
    </xf>
    <xf numFmtId="173" fontId="2" fillId="0" borderId="0" xfId="42" applyNumberFormat="1" applyFont="1" applyFill="1" applyAlignment="1">
      <alignment/>
    </xf>
    <xf numFmtId="0" fontId="2" fillId="0" borderId="0" xfId="0" applyFont="1" applyFill="1" applyAlignment="1">
      <alignment/>
    </xf>
    <xf numFmtId="173" fontId="2" fillId="0" borderId="10" xfId="42" applyNumberFormat="1" applyFont="1" applyFill="1" applyBorder="1" applyAlignment="1">
      <alignment/>
    </xf>
    <xf numFmtId="171" fontId="2" fillId="0" borderId="0" xfId="42" applyNumberFormat="1" applyFont="1" applyFill="1" applyAlignment="1">
      <alignment horizontal="center"/>
    </xf>
    <xf numFmtId="43" fontId="5" fillId="0" borderId="0" xfId="42" applyFont="1" applyFill="1" applyAlignment="1">
      <alignment horizontal="center"/>
    </xf>
    <xf numFmtId="9" fontId="8" fillId="0" borderId="0" xfId="58" applyFont="1" applyFill="1" applyAlignment="1">
      <alignment/>
    </xf>
    <xf numFmtId="173" fontId="8" fillId="0" borderId="0" xfId="42" applyNumberFormat="1" applyFont="1" applyFill="1" applyAlignment="1">
      <alignment/>
    </xf>
    <xf numFmtId="0" fontId="3" fillId="0" borderId="0" xfId="0" applyFont="1" applyFill="1" applyAlignment="1">
      <alignment/>
    </xf>
    <xf numFmtId="173" fontId="2" fillId="0" borderId="11" xfId="42" applyNumberFormat="1" applyFont="1" applyFill="1" applyBorder="1" applyAlignment="1">
      <alignment/>
    </xf>
    <xf numFmtId="0" fontId="0" fillId="0" borderId="0" xfId="0" applyFont="1" applyFill="1" applyAlignment="1">
      <alignment/>
    </xf>
    <xf numFmtId="173" fontId="8" fillId="0" borderId="0" xfId="42" applyNumberFormat="1" applyFont="1" applyFill="1" applyAlignment="1">
      <alignment horizontal="center"/>
    </xf>
    <xf numFmtId="43" fontId="2" fillId="0" borderId="0" xfId="42" applyFont="1" applyFill="1" applyAlignment="1">
      <alignment horizontal="center" vertical="top"/>
    </xf>
    <xf numFmtId="43" fontId="2" fillId="0" borderId="0" xfId="42" applyFont="1" applyFill="1" applyAlignment="1">
      <alignment horizontal="center" vertical="top" wrapText="1"/>
    </xf>
    <xf numFmtId="173" fontId="2" fillId="0" borderId="12" xfId="42" applyNumberFormat="1" applyFont="1" applyFill="1" applyBorder="1" applyAlignment="1">
      <alignment vertical="center"/>
    </xf>
    <xf numFmtId="43" fontId="7" fillId="0" borderId="0" xfId="42" applyFont="1" applyFill="1" applyAlignment="1">
      <alignment horizontal="center" vertical="center"/>
    </xf>
    <xf numFmtId="171" fontId="7" fillId="0" borderId="0" xfId="42" applyNumberFormat="1" applyFont="1" applyFill="1" applyAlignment="1">
      <alignment horizontal="center" vertical="center"/>
    </xf>
    <xf numFmtId="0" fontId="2" fillId="0" borderId="0" xfId="0" applyFont="1" applyFill="1" applyAlignment="1">
      <alignment horizontal="left" indent="1"/>
    </xf>
    <xf numFmtId="0" fontId="5" fillId="0" borderId="0" xfId="0" applyFont="1" applyFill="1" applyAlignment="1">
      <alignment horizontal="left" indent="1"/>
    </xf>
    <xf numFmtId="0" fontId="5" fillId="0" borderId="0" xfId="0" applyFont="1" applyFill="1" applyAlignment="1">
      <alignment horizontal="center"/>
    </xf>
    <xf numFmtId="0" fontId="8" fillId="0" borderId="0" xfId="0" applyFont="1" applyFill="1" applyAlignment="1">
      <alignment/>
    </xf>
    <xf numFmtId="0" fontId="0" fillId="0" borderId="0" xfId="0" applyFont="1" applyFill="1" applyAlignment="1">
      <alignment horizontal="left" indent="1"/>
    </xf>
    <xf numFmtId="0" fontId="5" fillId="0" borderId="0" xfId="0" applyFont="1" applyFill="1" applyAlignment="1">
      <alignment/>
    </xf>
    <xf numFmtId="173" fontId="2" fillId="0" borderId="13" xfId="42" applyNumberFormat="1" applyFont="1" applyFill="1" applyBorder="1" applyAlignment="1">
      <alignment/>
    </xf>
    <xf numFmtId="173" fontId="2" fillId="0" borderId="0" xfId="42" applyNumberFormat="1" applyFont="1" applyFill="1" applyBorder="1" applyAlignment="1">
      <alignment/>
    </xf>
    <xf numFmtId="173" fontId="2" fillId="0" borderId="14" xfId="42" applyNumberFormat="1" applyFont="1" applyFill="1" applyBorder="1" applyAlignment="1">
      <alignment vertical="center"/>
    </xf>
    <xf numFmtId="43" fontId="7" fillId="0" borderId="0" xfId="42" applyFont="1" applyFill="1" applyAlignment="1">
      <alignment horizontal="center"/>
    </xf>
    <xf numFmtId="43" fontId="2" fillId="0" borderId="0" xfId="42" applyFont="1" applyFill="1" applyBorder="1" applyAlignment="1">
      <alignment/>
    </xf>
    <xf numFmtId="0" fontId="2" fillId="0" borderId="0" xfId="0" applyFont="1" applyFill="1" applyAlignment="1">
      <alignment horizontal="left"/>
    </xf>
    <xf numFmtId="173" fontId="2" fillId="0" borderId="15" xfId="42" applyNumberFormat="1" applyFont="1" applyFill="1" applyBorder="1" applyAlignment="1">
      <alignment/>
    </xf>
    <xf numFmtId="0" fontId="2" fillId="0" borderId="0" xfId="0" applyFont="1" applyFill="1" applyAlignment="1">
      <alignment vertical="center"/>
    </xf>
    <xf numFmtId="173" fontId="2" fillId="0" borderId="0" xfId="42" applyNumberFormat="1" applyFont="1" applyFill="1" applyAlignment="1">
      <alignment vertical="center"/>
    </xf>
    <xf numFmtId="0" fontId="0" fillId="0" borderId="16" xfId="0" applyFont="1" applyFill="1" applyBorder="1" applyAlignment="1">
      <alignment horizontal="left" vertical="center" wrapText="1"/>
    </xf>
    <xf numFmtId="173" fontId="2" fillId="0" borderId="10" xfId="42" applyNumberFormat="1" applyFont="1" applyFill="1" applyBorder="1" applyAlignment="1">
      <alignment vertical="center"/>
    </xf>
    <xf numFmtId="173" fontId="2" fillId="0" borderId="0" xfId="42" applyNumberFormat="1" applyFont="1" applyFill="1" applyBorder="1" applyAlignment="1">
      <alignment vertical="center"/>
    </xf>
    <xf numFmtId="0" fontId="2" fillId="0" borderId="0" xfId="0" applyFont="1" applyFill="1" applyAlignment="1">
      <alignment/>
    </xf>
    <xf numFmtId="0" fontId="2" fillId="0" borderId="0" xfId="0" applyFont="1" applyFill="1" applyAlignment="1">
      <alignment horizontal="left" wrapText="1"/>
    </xf>
    <xf numFmtId="0" fontId="0" fillId="0" borderId="0" xfId="0" applyFont="1" applyFill="1" applyAlignment="1">
      <alignment horizontal="left" wrapText="1"/>
    </xf>
    <xf numFmtId="173" fontId="2" fillId="0" borderId="10" xfId="42" applyNumberFormat="1" applyFont="1" applyFill="1" applyBorder="1" applyAlignment="1">
      <alignment horizontal="center" vertical="center"/>
    </xf>
    <xf numFmtId="173" fontId="2" fillId="0" borderId="0" xfId="42" applyNumberFormat="1" applyFont="1" applyFill="1" applyBorder="1" applyAlignment="1">
      <alignment horizontal="center" vertical="center"/>
    </xf>
    <xf numFmtId="173" fontId="0" fillId="0" borderId="0" xfId="42" applyNumberFormat="1" applyFont="1" applyFill="1" applyAlignment="1">
      <alignment/>
    </xf>
    <xf numFmtId="43" fontId="0" fillId="0" borderId="0" xfId="42" applyFont="1" applyFill="1" applyAlignment="1">
      <alignment/>
    </xf>
    <xf numFmtId="173" fontId="0" fillId="0" borderId="17" xfId="42" applyNumberFormat="1" applyFont="1" applyFill="1" applyBorder="1" applyAlignment="1">
      <alignment/>
    </xf>
    <xf numFmtId="173" fontId="0" fillId="0" borderId="0" xfId="42" applyNumberFormat="1" applyFont="1" applyFill="1" applyBorder="1" applyAlignment="1">
      <alignment/>
    </xf>
    <xf numFmtId="177" fontId="0" fillId="0" borderId="0" xfId="42" applyNumberFormat="1" applyFont="1" applyFill="1" applyAlignment="1">
      <alignment/>
    </xf>
    <xf numFmtId="43" fontId="0" fillId="0" borderId="0" xfId="42" applyFont="1" applyFill="1" applyBorder="1" applyAlignment="1">
      <alignment/>
    </xf>
    <xf numFmtId="177" fontId="0" fillId="0" borderId="0" xfId="42" applyNumberFormat="1" applyFont="1" applyFill="1" applyBorder="1" applyAlignment="1">
      <alignment/>
    </xf>
    <xf numFmtId="173" fontId="0" fillId="0" borderId="0" xfId="42" applyNumberFormat="1" applyFont="1" applyFill="1" applyAlignment="1">
      <alignment horizontal="right"/>
    </xf>
    <xf numFmtId="0" fontId="0" fillId="0" borderId="0" xfId="0" applyFont="1" applyFill="1" applyAlignment="1">
      <alignment horizontal="center"/>
    </xf>
    <xf numFmtId="173" fontId="0" fillId="0" borderId="17" xfId="42" applyNumberFormat="1" applyFont="1" applyFill="1" applyBorder="1" applyAlignment="1">
      <alignment vertical="center"/>
    </xf>
    <xf numFmtId="0" fontId="0" fillId="0" borderId="0" xfId="0" applyFont="1" applyFill="1" applyAlignment="1">
      <alignment vertical="center"/>
    </xf>
    <xf numFmtId="173" fontId="0" fillId="0" borderId="18" xfId="42" applyNumberFormat="1" applyFont="1" applyFill="1" applyBorder="1" applyAlignment="1">
      <alignment/>
    </xf>
    <xf numFmtId="173" fontId="0" fillId="0" borderId="10" xfId="42" applyNumberFormat="1" applyFont="1" applyFill="1" applyBorder="1" applyAlignment="1">
      <alignment/>
    </xf>
    <xf numFmtId="43" fontId="0" fillId="0" borderId="0" xfId="42" applyFont="1" applyFill="1" applyAlignment="1">
      <alignment horizontal="center"/>
    </xf>
    <xf numFmtId="0" fontId="0" fillId="0" borderId="0" xfId="0" applyFont="1" applyFill="1" applyAlignment="1">
      <alignment horizontal="center" wrapText="1"/>
    </xf>
    <xf numFmtId="43" fontId="0" fillId="0" borderId="0" xfId="42" applyFont="1" applyFill="1" applyAlignment="1">
      <alignment horizontal="center" wrapText="1"/>
    </xf>
    <xf numFmtId="173" fontId="0" fillId="0" borderId="0" xfId="42" applyNumberFormat="1" applyFont="1" applyFill="1" applyAlignment="1">
      <alignment vertical="center"/>
    </xf>
    <xf numFmtId="43" fontId="0" fillId="0" borderId="0" xfId="42" applyFont="1" applyFill="1" applyAlignment="1">
      <alignment vertical="center"/>
    </xf>
    <xf numFmtId="0" fontId="0" fillId="0" borderId="13" xfId="0" applyFont="1" applyFill="1" applyBorder="1" applyAlignment="1">
      <alignment vertical="center"/>
    </xf>
    <xf numFmtId="173" fontId="0" fillId="0" borderId="13" xfId="42" applyNumberFormat="1" applyFont="1" applyFill="1" applyBorder="1" applyAlignment="1">
      <alignment vertical="center"/>
    </xf>
    <xf numFmtId="43" fontId="0" fillId="0" borderId="0" xfId="42" applyFont="1" applyFill="1" applyBorder="1" applyAlignment="1">
      <alignment vertical="center"/>
    </xf>
    <xf numFmtId="0" fontId="0" fillId="0" borderId="0" xfId="0" applyFont="1" applyFill="1" applyBorder="1" applyAlignment="1">
      <alignment vertical="center"/>
    </xf>
    <xf numFmtId="173" fontId="0" fillId="0" borderId="0" xfId="42" applyNumberFormat="1" applyFont="1" applyFill="1" applyBorder="1" applyAlignment="1">
      <alignment vertical="center"/>
    </xf>
    <xf numFmtId="0" fontId="0" fillId="0" borderId="17"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Alignment="1">
      <alignment horizontal="left" vertical="center"/>
    </xf>
    <xf numFmtId="0" fontId="0" fillId="0" borderId="0" xfId="0" applyFont="1" applyFill="1" applyAlignment="1">
      <alignment vertical="top"/>
    </xf>
    <xf numFmtId="0" fontId="2" fillId="0" borderId="0" xfId="0" applyFont="1" applyFill="1" applyAlignment="1">
      <alignment horizontal="left" vertical="top"/>
    </xf>
    <xf numFmtId="173" fontId="2" fillId="0" borderId="17" xfId="42" applyNumberFormat="1" applyFont="1" applyFill="1" applyBorder="1" applyAlignment="1">
      <alignment vertical="top"/>
    </xf>
    <xf numFmtId="173" fontId="2" fillId="0" borderId="0" xfId="42" applyNumberFormat="1" applyFont="1" applyFill="1" applyBorder="1" applyAlignment="1">
      <alignment vertical="top"/>
    </xf>
    <xf numFmtId="0" fontId="2" fillId="0" borderId="0" xfId="0" applyFont="1" applyFill="1" applyAlignment="1">
      <alignment vertical="top"/>
    </xf>
    <xf numFmtId="0" fontId="0" fillId="0" borderId="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vertical="center"/>
    </xf>
    <xf numFmtId="43" fontId="2" fillId="0" borderId="0" xfId="42" applyFont="1" applyFill="1" applyBorder="1" applyAlignment="1">
      <alignment vertical="center"/>
    </xf>
    <xf numFmtId="0" fontId="0" fillId="0" borderId="20" xfId="0" applyFont="1" applyFill="1" applyBorder="1" applyAlignment="1">
      <alignment horizontal="left" vertical="center" wrapText="1"/>
    </xf>
    <xf numFmtId="0" fontId="0" fillId="0" borderId="11" xfId="0" applyFont="1" applyFill="1" applyBorder="1" applyAlignment="1">
      <alignment vertical="center"/>
    </xf>
    <xf numFmtId="173" fontId="0" fillId="0" borderId="11" xfId="42" applyNumberFormat="1" applyFont="1" applyFill="1" applyBorder="1" applyAlignment="1">
      <alignment vertical="center"/>
    </xf>
    <xf numFmtId="173" fontId="2" fillId="0" borderId="21" xfId="42" applyNumberFormat="1" applyFont="1" applyFill="1" applyBorder="1" applyAlignment="1">
      <alignment vertical="center"/>
    </xf>
    <xf numFmtId="173" fontId="2" fillId="0" borderId="17" xfId="42" applyNumberFormat="1" applyFont="1" applyFill="1" applyBorder="1" applyAlignment="1">
      <alignment vertical="center"/>
    </xf>
    <xf numFmtId="191" fontId="0" fillId="0" borderId="0" xfId="0" applyNumberFormat="1" applyFill="1" applyAlignment="1">
      <alignment/>
    </xf>
    <xf numFmtId="191" fontId="0" fillId="0" borderId="0" xfId="0" applyNumberFormat="1" applyFont="1" applyFill="1" applyAlignment="1">
      <alignment/>
    </xf>
    <xf numFmtId="173" fontId="50" fillId="0" borderId="0" xfId="42" applyNumberFormat="1" applyFont="1" applyFill="1" applyAlignment="1">
      <alignment/>
    </xf>
    <xf numFmtId="173" fontId="0" fillId="0" borderId="0" xfId="42" applyNumberFormat="1" applyFont="1" applyFill="1" applyAlignment="1">
      <alignment/>
    </xf>
    <xf numFmtId="173" fontId="0" fillId="0" borderId="17" xfId="42" applyNumberFormat="1" applyFont="1" applyFill="1" applyBorder="1" applyAlignment="1">
      <alignment/>
    </xf>
    <xf numFmtId="173" fontId="51" fillId="0" borderId="0" xfId="42" applyNumberFormat="1" applyFont="1" applyFill="1" applyAlignment="1">
      <alignment/>
    </xf>
    <xf numFmtId="173" fontId="0" fillId="0" borderId="0" xfId="42" applyNumberFormat="1" applyFont="1" applyFill="1" applyAlignment="1">
      <alignment/>
    </xf>
    <xf numFmtId="173" fontId="2" fillId="0" borderId="17" xfId="42" applyNumberFormat="1" applyFont="1" applyFill="1" applyBorder="1" applyAlignment="1">
      <alignment vertical="top" wrapText="1"/>
    </xf>
    <xf numFmtId="173" fontId="0" fillId="0" borderId="0" xfId="0" applyNumberFormat="1" applyFont="1" applyFill="1" applyAlignment="1">
      <alignment/>
    </xf>
    <xf numFmtId="9" fontId="0" fillId="0" borderId="0" xfId="58" applyFont="1" applyFill="1" applyAlignment="1">
      <alignment/>
    </xf>
    <xf numFmtId="43" fontId="50" fillId="0" borderId="0" xfId="42" applyFont="1" applyFill="1" applyAlignment="1">
      <alignment/>
    </xf>
    <xf numFmtId="43" fontId="52" fillId="0" borderId="0" xfId="42" applyFont="1" applyFill="1" applyAlignment="1">
      <alignment/>
    </xf>
    <xf numFmtId="43" fontId="2" fillId="0" borderId="0" xfId="42" applyFont="1" applyFill="1" applyAlignment="1">
      <alignment horizontal="center"/>
    </xf>
    <xf numFmtId="0" fontId="0" fillId="0" borderId="0" xfId="0" applyFont="1" applyFill="1" applyAlignment="1">
      <alignment horizontal="left" vertical="top" wrapText="1"/>
    </xf>
    <xf numFmtId="0" fontId="0" fillId="0" borderId="0" xfId="0" applyFont="1" applyFill="1" applyAlignment="1">
      <alignment horizontal="left" wrapText="1"/>
    </xf>
    <xf numFmtId="0" fontId="2" fillId="0" borderId="0" xfId="0" applyFont="1" applyFill="1" applyAlignment="1">
      <alignment horizontal="center" vertical="center"/>
    </xf>
    <xf numFmtId="43" fontId="2" fillId="0" borderId="0" xfId="42" applyFont="1" applyFill="1" applyAlignment="1">
      <alignment horizontal="center" vertical="center"/>
    </xf>
    <xf numFmtId="173" fontId="2" fillId="0" borderId="0" xfId="42" applyNumberFormat="1" applyFont="1" applyFill="1" applyAlignment="1">
      <alignment horizontal="center"/>
    </xf>
    <xf numFmtId="0" fontId="0" fillId="0" borderId="0" xfId="0" applyFont="1" applyFill="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561975</xdr:colOff>
      <xdr:row>5</xdr:row>
      <xdr:rowOff>57150</xdr:rowOff>
    </xdr:from>
    <xdr:to>
      <xdr:col>5</xdr:col>
      <xdr:colOff>933450</xdr:colOff>
      <xdr:row>5</xdr:row>
      <xdr:rowOff>57150</xdr:rowOff>
    </xdr:to>
    <xdr:sp>
      <xdr:nvSpPr>
        <xdr:cNvPr id="1" name="AutoShape 1"/>
        <xdr:cNvSpPr>
          <a:spLocks/>
        </xdr:cNvSpPr>
      </xdr:nvSpPr>
      <xdr:spPr>
        <a:xfrm>
          <a:off x="6724650" y="933450"/>
          <a:ext cx="3714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twoCellAnchor>
    <xdr:from>
      <xdr:col>2</xdr:col>
      <xdr:colOff>19050</xdr:colOff>
      <xdr:row>5</xdr:row>
      <xdr:rowOff>76200</xdr:rowOff>
    </xdr:from>
    <xdr:to>
      <xdr:col>3</xdr:col>
      <xdr:colOff>409575</xdr:colOff>
      <xdr:row>5</xdr:row>
      <xdr:rowOff>76200</xdr:rowOff>
    </xdr:to>
    <xdr:sp>
      <xdr:nvSpPr>
        <xdr:cNvPr id="2" name="AutoShape 2"/>
        <xdr:cNvSpPr>
          <a:spLocks/>
        </xdr:cNvSpPr>
      </xdr:nvSpPr>
      <xdr:spPr>
        <a:xfrm rot="10800000">
          <a:off x="2695575" y="952500"/>
          <a:ext cx="15525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twoCellAnchor>
    <xdr:from>
      <xdr:col>6</xdr:col>
      <xdr:colOff>209550</xdr:colOff>
      <xdr:row>4</xdr:row>
      <xdr:rowOff>76200</xdr:rowOff>
    </xdr:from>
    <xdr:to>
      <xdr:col>6</xdr:col>
      <xdr:colOff>895350</xdr:colOff>
      <xdr:row>4</xdr:row>
      <xdr:rowOff>76200</xdr:rowOff>
    </xdr:to>
    <xdr:sp>
      <xdr:nvSpPr>
        <xdr:cNvPr id="3" name="AutoShape 3"/>
        <xdr:cNvSpPr>
          <a:spLocks/>
        </xdr:cNvSpPr>
      </xdr:nvSpPr>
      <xdr:spPr>
        <a:xfrm>
          <a:off x="7534275" y="790575"/>
          <a:ext cx="6858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twoCellAnchor>
    <xdr:from>
      <xdr:col>2</xdr:col>
      <xdr:colOff>28575</xdr:colOff>
      <xdr:row>4</xdr:row>
      <xdr:rowOff>85725</xdr:rowOff>
    </xdr:from>
    <xdr:to>
      <xdr:col>2</xdr:col>
      <xdr:colOff>714375</xdr:colOff>
      <xdr:row>4</xdr:row>
      <xdr:rowOff>85725</xdr:rowOff>
    </xdr:to>
    <xdr:sp>
      <xdr:nvSpPr>
        <xdr:cNvPr id="4" name="AutoShape 4"/>
        <xdr:cNvSpPr>
          <a:spLocks/>
        </xdr:cNvSpPr>
      </xdr:nvSpPr>
      <xdr:spPr>
        <a:xfrm flipH="1">
          <a:off x="2705100" y="800100"/>
          <a:ext cx="6858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206"/>
  <sheetViews>
    <sheetView tabSelected="1" zoomScaleSheetLayoutView="100" zoomScalePageLayoutView="0" workbookViewId="0" topLeftCell="A1">
      <pane xSplit="1" ySplit="7" topLeftCell="B8" activePane="bottomRight" state="frozen"/>
      <selection pane="topLeft" activeCell="A37" sqref="A1:IV16384"/>
      <selection pane="topRight" activeCell="A37" sqref="A1:IV16384"/>
      <selection pane="bottomLeft" activeCell="A37" sqref="A1:IV16384"/>
      <selection pane="bottomRight" activeCell="A1" sqref="A1"/>
    </sheetView>
  </sheetViews>
  <sheetFormatPr defaultColWidth="9.33203125" defaultRowHeight="12.75"/>
  <cols>
    <col min="1" max="1" width="36.33203125" style="19" customWidth="1"/>
    <col min="2" max="2" width="2" style="3" customWidth="1"/>
    <col min="3" max="3" width="20.66015625" style="50" customWidth="1"/>
    <col min="4" max="4" width="19.83203125" style="50" customWidth="1"/>
    <col min="5" max="5" width="2" style="50" customWidth="1"/>
    <col min="6" max="6" width="20.83203125" style="50" customWidth="1"/>
    <col min="7" max="7" width="18" style="19" bestFit="1" customWidth="1"/>
    <col min="8" max="16384" width="9.33203125" style="19" customWidth="1"/>
  </cols>
  <sheetData>
    <row r="1" spans="1:7" ht="16.5">
      <c r="A1" s="2" t="s">
        <v>32</v>
      </c>
      <c r="G1" s="1" t="s">
        <v>128</v>
      </c>
    </row>
    <row r="2" ht="13.5">
      <c r="A2" s="6" t="s">
        <v>69</v>
      </c>
    </row>
    <row r="3" ht="13.5">
      <c r="A3" s="6" t="s">
        <v>129</v>
      </c>
    </row>
    <row r="5" spans="3:7" ht="12.75">
      <c r="C5" s="102" t="s">
        <v>0</v>
      </c>
      <c r="D5" s="102"/>
      <c r="E5" s="7"/>
      <c r="F5" s="102" t="s">
        <v>133</v>
      </c>
      <c r="G5" s="102"/>
    </row>
    <row r="6" spans="3:7" ht="12.75">
      <c r="C6" s="13">
        <v>41639</v>
      </c>
      <c r="D6" s="13">
        <v>41274</v>
      </c>
      <c r="E6" s="13"/>
      <c r="F6" s="13">
        <f>C6</f>
        <v>41639</v>
      </c>
      <c r="G6" s="13">
        <f>D6</f>
        <v>41274</v>
      </c>
    </row>
    <row r="7" spans="3:7" ht="25.5">
      <c r="C7" s="21" t="s">
        <v>1</v>
      </c>
      <c r="D7" s="22" t="s">
        <v>62</v>
      </c>
      <c r="E7" s="7"/>
      <c r="F7" s="21" t="s">
        <v>1</v>
      </c>
      <c r="G7" s="22" t="s">
        <v>62</v>
      </c>
    </row>
    <row r="8" spans="3:7" ht="12.75">
      <c r="C8" s="7"/>
      <c r="D8" s="14"/>
      <c r="E8" s="14"/>
      <c r="F8" s="7"/>
      <c r="G8" s="14"/>
    </row>
    <row r="9" spans="1:7" ht="12.75">
      <c r="A9" s="30" t="s">
        <v>2</v>
      </c>
      <c r="C9" s="49">
        <v>234175</v>
      </c>
      <c r="D9" s="93">
        <f>207682</f>
        <v>207682</v>
      </c>
      <c r="E9" s="49"/>
      <c r="F9" s="49">
        <f>217220+C9</f>
        <v>451395</v>
      </c>
      <c r="G9" s="93">
        <v>408738</v>
      </c>
    </row>
    <row r="10" spans="1:7" ht="12.75">
      <c r="A10" s="30" t="s">
        <v>3</v>
      </c>
      <c r="C10" s="51">
        <v>-124476</v>
      </c>
      <c r="D10" s="94">
        <v>-113123</v>
      </c>
      <c r="E10" s="49"/>
      <c r="F10" s="51">
        <f>-114903+C10</f>
        <v>-239379</v>
      </c>
      <c r="G10" s="94">
        <v>-220364</v>
      </c>
    </row>
    <row r="11" spans="1:7" s="11" customFormat="1" ht="12.75">
      <c r="A11" s="26" t="s">
        <v>4</v>
      </c>
      <c r="B11" s="3"/>
      <c r="C11" s="10">
        <f>SUM(C9:C10)</f>
        <v>109699</v>
      </c>
      <c r="D11" s="10">
        <f>SUM(D9:D10)</f>
        <v>94559</v>
      </c>
      <c r="E11" s="10"/>
      <c r="F11" s="10">
        <f>SUM(F9:F10)</f>
        <v>212016</v>
      </c>
      <c r="G11" s="10">
        <f>SUM(G9:G10)</f>
        <v>188374</v>
      </c>
    </row>
    <row r="12" spans="1:7" s="29" customFormat="1" ht="12.75">
      <c r="A12" s="27"/>
      <c r="B12" s="28"/>
      <c r="C12" s="15">
        <f>C11/C9</f>
        <v>0.4684488096509021</v>
      </c>
      <c r="D12" s="15">
        <f>D11/D9</f>
        <v>0.45530667077551257</v>
      </c>
      <c r="E12" s="16"/>
      <c r="F12" s="15">
        <f>F11/F9</f>
        <v>0.4696906257269132</v>
      </c>
      <c r="G12" s="15">
        <f>G11/G9</f>
        <v>0.46086735268069035</v>
      </c>
    </row>
    <row r="13" spans="1:7" ht="21.75" customHeight="1">
      <c r="A13" s="30" t="s">
        <v>70</v>
      </c>
      <c r="C13" s="49">
        <f>2492</f>
        <v>2492</v>
      </c>
      <c r="D13" s="93">
        <v>1440</v>
      </c>
      <c r="E13" s="49"/>
      <c r="F13" s="49">
        <f>2222+C13</f>
        <v>4714</v>
      </c>
      <c r="G13" s="93">
        <v>2722</v>
      </c>
    </row>
    <row r="14" spans="1:7" ht="12.75">
      <c r="A14" s="30" t="s">
        <v>75</v>
      </c>
      <c r="C14" s="49">
        <f>-(14550+1047-23-135)</f>
        <v>-15439</v>
      </c>
      <c r="D14" s="93">
        <f>-12013-936+72</f>
        <v>-12877</v>
      </c>
      <c r="E14" s="49"/>
      <c r="F14" s="49">
        <f>-12551+C14</f>
        <v>-27990</v>
      </c>
      <c r="G14" s="93">
        <f>-23773-1883-184</f>
        <v>-25840</v>
      </c>
    </row>
    <row r="15" spans="1:8" ht="12.75">
      <c r="A15" s="30" t="s">
        <v>71</v>
      </c>
      <c r="C15" s="49">
        <f>-(52538+4332)</f>
        <v>-56870</v>
      </c>
      <c r="D15" s="93">
        <f>-50739-4515-205</f>
        <v>-55459</v>
      </c>
      <c r="E15" s="49"/>
      <c r="F15" s="49">
        <f>-52545+C15</f>
        <v>-109415</v>
      </c>
      <c r="G15" s="93">
        <f>-93137-9055-205*2</f>
        <v>-102602</v>
      </c>
      <c r="H15" s="98"/>
    </row>
    <row r="16" spans="1:8" ht="12.75">
      <c r="A16" s="30" t="s">
        <v>72</v>
      </c>
      <c r="C16" s="49">
        <f>-646</f>
        <v>-646</v>
      </c>
      <c r="D16" s="93">
        <f>-391-106</f>
        <v>-497</v>
      </c>
      <c r="E16" s="49"/>
      <c r="F16" s="49">
        <f>-481+C16</f>
        <v>-1127</v>
      </c>
      <c r="G16" s="93">
        <f>-796-106*2</f>
        <v>-1008</v>
      </c>
      <c r="H16" s="98"/>
    </row>
    <row r="17" spans="1:7" ht="12.75">
      <c r="A17" s="30"/>
      <c r="C17" s="51"/>
      <c r="D17" s="51"/>
      <c r="E17" s="49"/>
      <c r="F17" s="51"/>
      <c r="G17" s="51"/>
    </row>
    <row r="18" spans="1:7" s="11" customFormat="1" ht="12.75">
      <c r="A18" s="26" t="s">
        <v>5</v>
      </c>
      <c r="B18" s="3"/>
      <c r="C18" s="10">
        <f>SUM(C11,C13:C17)</f>
        <v>39236</v>
      </c>
      <c r="D18" s="10">
        <f>SUM(D11,D13:D17)</f>
        <v>27166</v>
      </c>
      <c r="E18" s="10"/>
      <c r="F18" s="10">
        <f>SUM(F11,F13:F17)</f>
        <v>78198</v>
      </c>
      <c r="G18" s="10">
        <f>SUM(G11,G13:G17)</f>
        <v>61646</v>
      </c>
    </row>
    <row r="19" spans="1:7" ht="12.75">
      <c r="A19" s="30"/>
      <c r="C19" s="99"/>
      <c r="D19" s="99"/>
      <c r="E19" s="49"/>
      <c r="F19" s="99"/>
      <c r="G19" s="99"/>
    </row>
    <row r="20" spans="1:8" ht="12.75">
      <c r="A20" s="30" t="s">
        <v>6</v>
      </c>
      <c r="C20" s="52">
        <v>-10836</v>
      </c>
      <c r="D20" s="52">
        <f>-8108+78</f>
        <v>-8030</v>
      </c>
      <c r="E20" s="49"/>
      <c r="F20" s="52">
        <f>-11225+C20</f>
        <v>-22061</v>
      </c>
      <c r="G20" s="52">
        <f>-17354+78*2</f>
        <v>-17198</v>
      </c>
      <c r="H20" s="98"/>
    </row>
    <row r="21" spans="1:7" s="11" customFormat="1" ht="12.75">
      <c r="A21" s="26" t="s">
        <v>7</v>
      </c>
      <c r="B21" s="26"/>
      <c r="C21" s="32">
        <f>SUM(C18:C20)</f>
        <v>28400</v>
      </c>
      <c r="D21" s="32">
        <f>SUM(D18:D20)</f>
        <v>19136</v>
      </c>
      <c r="E21" s="33"/>
      <c r="F21" s="32">
        <f>SUM(F18:F20)</f>
        <v>56137</v>
      </c>
      <c r="G21" s="32">
        <f>SUM(G18:G20)</f>
        <v>44448</v>
      </c>
    </row>
    <row r="22" spans="2:7" s="11" customFormat="1" ht="12.75">
      <c r="B22" s="26"/>
      <c r="C22" s="36"/>
      <c r="D22" s="36"/>
      <c r="E22" s="33"/>
      <c r="F22" s="36"/>
      <c r="G22" s="36"/>
    </row>
    <row r="23" spans="1:7" s="11" customFormat="1" ht="12.75">
      <c r="A23" s="11" t="s">
        <v>78</v>
      </c>
      <c r="B23" s="26"/>
      <c r="C23" s="33"/>
      <c r="D23" s="33"/>
      <c r="E23" s="33"/>
      <c r="F23" s="33"/>
      <c r="G23" s="33"/>
    </row>
    <row r="24" spans="2:7" s="11" customFormat="1" ht="12.75">
      <c r="B24" s="26"/>
      <c r="C24" s="33"/>
      <c r="D24" s="33"/>
      <c r="E24" s="33"/>
      <c r="F24" s="33"/>
      <c r="G24" s="33"/>
    </row>
    <row r="25" spans="1:7" s="11" customFormat="1" ht="12.75">
      <c r="A25" s="29" t="s">
        <v>77</v>
      </c>
      <c r="B25" s="26"/>
      <c r="C25" s="33"/>
      <c r="D25" s="33"/>
      <c r="E25" s="33"/>
      <c r="F25" s="33"/>
      <c r="G25" s="33"/>
    </row>
    <row r="26" spans="1:7" s="79" customFormat="1" ht="20.25" customHeight="1">
      <c r="A26" s="75" t="s">
        <v>76</v>
      </c>
      <c r="B26" s="76"/>
      <c r="C26" s="77">
        <v>185</v>
      </c>
      <c r="D26" s="89">
        <v>-11</v>
      </c>
      <c r="E26" s="78"/>
      <c r="F26" s="77">
        <f>460+C26</f>
        <v>645</v>
      </c>
      <c r="G26" s="97">
        <v>-670</v>
      </c>
    </row>
    <row r="27" spans="1:7" s="3" customFormat="1" ht="26.25" thickBot="1">
      <c r="A27" s="45" t="s">
        <v>50</v>
      </c>
      <c r="C27" s="47">
        <f>SUM(C21:C26)</f>
        <v>28585</v>
      </c>
      <c r="D27" s="47">
        <f>SUM(D21:D26)</f>
        <v>19125</v>
      </c>
      <c r="E27" s="48"/>
      <c r="F27" s="47">
        <f>SUM(F21:F26)</f>
        <v>56782</v>
      </c>
      <c r="G27" s="47">
        <f>SUM(G21:G26)</f>
        <v>43778</v>
      </c>
    </row>
    <row r="28" spans="3:7" ht="13.5" thickTop="1">
      <c r="C28" s="49"/>
      <c r="D28" s="49"/>
      <c r="E28" s="49"/>
      <c r="F28" s="49"/>
      <c r="G28" s="49"/>
    </row>
    <row r="29" spans="1:7" ht="12.75">
      <c r="A29" s="11" t="s">
        <v>51</v>
      </c>
      <c r="C29" s="49"/>
      <c r="D29" s="49"/>
      <c r="E29" s="49"/>
      <c r="F29" s="49"/>
      <c r="G29" s="49"/>
    </row>
    <row r="30" spans="1:7" ht="13.5" thickBot="1">
      <c r="A30" s="30" t="s">
        <v>52</v>
      </c>
      <c r="C30" s="38">
        <f>C21</f>
        <v>28400</v>
      </c>
      <c r="D30" s="38">
        <f>D21</f>
        <v>19136</v>
      </c>
      <c r="E30" s="10"/>
      <c r="F30" s="38">
        <f>F21</f>
        <v>56137</v>
      </c>
      <c r="G30" s="38">
        <f>G21</f>
        <v>44448</v>
      </c>
    </row>
    <row r="31" spans="1:7" ht="13.5" thickTop="1">
      <c r="A31" s="30"/>
      <c r="C31" s="52"/>
      <c r="D31" s="52"/>
      <c r="E31" s="49"/>
      <c r="F31" s="52"/>
      <c r="G31" s="52"/>
    </row>
    <row r="32" spans="1:7" ht="12.75">
      <c r="A32" s="37" t="s">
        <v>53</v>
      </c>
      <c r="C32" s="52"/>
      <c r="D32" s="52"/>
      <c r="E32" s="49"/>
      <c r="F32" s="52"/>
      <c r="G32" s="52"/>
    </row>
    <row r="33" spans="1:7" ht="13.5" thickBot="1">
      <c r="A33" s="30" t="s">
        <v>52</v>
      </c>
      <c r="C33" s="38">
        <f>C27</f>
        <v>28585</v>
      </c>
      <c r="D33" s="38">
        <f>D27</f>
        <v>19125</v>
      </c>
      <c r="E33" s="49"/>
      <c r="F33" s="38">
        <f>F27</f>
        <v>56782</v>
      </c>
      <c r="G33" s="38">
        <f>G27</f>
        <v>43778</v>
      </c>
    </row>
    <row r="34" spans="5:7" ht="13.5" thickTop="1">
      <c r="E34" s="49"/>
      <c r="G34" s="50"/>
    </row>
    <row r="35" spans="1:7" ht="12.75">
      <c r="A35" s="44" t="s">
        <v>79</v>
      </c>
      <c r="E35" s="49"/>
      <c r="G35" s="50"/>
    </row>
    <row r="36" spans="1:7" ht="12.75">
      <c r="A36" s="19" t="s">
        <v>80</v>
      </c>
      <c r="C36" s="53">
        <v>4.324</v>
      </c>
      <c r="D36" s="53">
        <f>D27/6579.095</f>
        <v>2.906934768383797</v>
      </c>
      <c r="E36" s="53"/>
      <c r="F36" s="53">
        <v>8.6307</v>
      </c>
      <c r="G36" s="53">
        <f>G27/6579.095</f>
        <v>6.654106681846059</v>
      </c>
    </row>
    <row r="37" spans="4:5" ht="12.75">
      <c r="D37" s="53"/>
      <c r="E37" s="53"/>
    </row>
    <row r="38" spans="1:5" ht="12.75">
      <c r="A38" s="11"/>
      <c r="D38" s="53"/>
      <c r="E38" s="53"/>
    </row>
    <row r="39" spans="1:6" ht="12.75">
      <c r="A39" s="31" t="s">
        <v>35</v>
      </c>
      <c r="C39" s="54"/>
      <c r="D39" s="55"/>
      <c r="E39" s="55"/>
      <c r="F39" s="54"/>
    </row>
    <row r="40" spans="4:6" ht="12.75">
      <c r="D40" s="49"/>
      <c r="E40" s="49"/>
      <c r="F40" s="49"/>
    </row>
    <row r="41" spans="4:6" ht="12.75">
      <c r="D41" s="49"/>
      <c r="E41" s="49"/>
      <c r="F41" s="49"/>
    </row>
    <row r="42" spans="4:6" ht="12.75">
      <c r="D42" s="49"/>
      <c r="E42" s="49"/>
      <c r="F42" s="49"/>
    </row>
    <row r="43" spans="1:7" ht="42" customHeight="1">
      <c r="A43" s="103" t="s">
        <v>120</v>
      </c>
      <c r="B43" s="103"/>
      <c r="C43" s="103"/>
      <c r="D43" s="103"/>
      <c r="E43" s="103"/>
      <c r="F43" s="103"/>
      <c r="G43" s="103"/>
    </row>
    <row r="44" spans="4:6" ht="12.75">
      <c r="D44" s="49"/>
      <c r="E44" s="49"/>
      <c r="F44" s="49"/>
    </row>
    <row r="45" spans="4:6" ht="12.75">
      <c r="D45" s="49"/>
      <c r="E45" s="49"/>
      <c r="F45" s="49"/>
    </row>
    <row r="46" spans="4:6" ht="12.75">
      <c r="D46" s="49"/>
      <c r="E46" s="49"/>
      <c r="F46" s="49"/>
    </row>
    <row r="47" spans="4:6" ht="12.75">
      <c r="D47" s="49"/>
      <c r="E47" s="49"/>
      <c r="F47" s="49"/>
    </row>
    <row r="48" spans="4:6" ht="12.75">
      <c r="D48" s="49"/>
      <c r="E48" s="49"/>
      <c r="F48" s="49"/>
    </row>
    <row r="49" spans="4:6" ht="12.75">
      <c r="D49" s="49"/>
      <c r="E49" s="49"/>
      <c r="F49" s="49"/>
    </row>
    <row r="50" spans="4:6" ht="12.75">
      <c r="D50" s="49"/>
      <c r="E50" s="49"/>
      <c r="F50" s="49"/>
    </row>
    <row r="51" spans="4:6" ht="12.75">
      <c r="D51" s="49"/>
      <c r="E51" s="49"/>
      <c r="F51" s="49"/>
    </row>
    <row r="52" spans="4:6" ht="12.75">
      <c r="D52" s="49"/>
      <c r="E52" s="49"/>
      <c r="F52" s="49"/>
    </row>
    <row r="53" spans="4:6" ht="12.75">
      <c r="D53" s="49"/>
      <c r="E53" s="49"/>
      <c r="F53" s="49"/>
    </row>
    <row r="54" spans="4:6" ht="12.75">
      <c r="D54" s="49"/>
      <c r="E54" s="49"/>
      <c r="F54" s="49"/>
    </row>
    <row r="55" spans="4:6" ht="12.75">
      <c r="D55" s="49"/>
      <c r="E55" s="49"/>
      <c r="F55" s="49"/>
    </row>
    <row r="56" spans="4:6" ht="12.75">
      <c r="D56" s="49"/>
      <c r="E56" s="49"/>
      <c r="F56" s="49"/>
    </row>
    <row r="57" spans="4:6" ht="12.75">
      <c r="D57" s="49"/>
      <c r="E57" s="49"/>
      <c r="F57" s="49"/>
    </row>
    <row r="58" spans="4:6" ht="12.75">
      <c r="D58" s="49"/>
      <c r="E58" s="49"/>
      <c r="F58" s="49"/>
    </row>
    <row r="59" spans="4:6" ht="12.75">
      <c r="D59" s="49"/>
      <c r="E59" s="49"/>
      <c r="F59" s="49"/>
    </row>
    <row r="60" spans="4:6" ht="12.75">
      <c r="D60" s="49"/>
      <c r="E60" s="49"/>
      <c r="F60" s="49"/>
    </row>
    <row r="61" spans="4:6" ht="12.75">
      <c r="D61" s="49"/>
      <c r="E61" s="49"/>
      <c r="F61" s="49"/>
    </row>
    <row r="62" spans="4:6" ht="12.75">
      <c r="D62" s="49"/>
      <c r="E62" s="49"/>
      <c r="F62" s="49"/>
    </row>
    <row r="63" spans="4:6" ht="12.75">
      <c r="D63" s="49"/>
      <c r="E63" s="49"/>
      <c r="F63" s="49"/>
    </row>
    <row r="64" spans="4:6" ht="12.75">
      <c r="D64" s="49"/>
      <c r="E64" s="49"/>
      <c r="F64" s="49"/>
    </row>
    <row r="65" spans="4:6" ht="12.75">
      <c r="D65" s="49"/>
      <c r="E65" s="49"/>
      <c r="F65" s="49"/>
    </row>
    <row r="66" spans="4:6" ht="12.75">
      <c r="D66" s="49"/>
      <c r="E66" s="49"/>
      <c r="F66" s="49"/>
    </row>
    <row r="67" spans="4:6" ht="12.75">
      <c r="D67" s="49"/>
      <c r="E67" s="49"/>
      <c r="F67" s="49"/>
    </row>
    <row r="68" spans="4:6" ht="12.75">
      <c r="D68" s="49"/>
      <c r="E68" s="49"/>
      <c r="F68" s="49"/>
    </row>
    <row r="69" spans="4:6" ht="12.75">
      <c r="D69" s="49"/>
      <c r="E69" s="49"/>
      <c r="F69" s="49"/>
    </row>
    <row r="70" spans="4:6" ht="12.75">
      <c r="D70" s="49"/>
      <c r="E70" s="49"/>
      <c r="F70" s="49"/>
    </row>
    <row r="71" spans="4:6" ht="12.75">
      <c r="D71" s="49"/>
      <c r="E71" s="49"/>
      <c r="F71" s="49"/>
    </row>
    <row r="72" spans="4:6" ht="12.75">
      <c r="D72" s="49"/>
      <c r="E72" s="49"/>
      <c r="F72" s="49"/>
    </row>
    <row r="73" spans="4:6" ht="12.75">
      <c r="D73" s="49"/>
      <c r="E73" s="49"/>
      <c r="F73" s="49"/>
    </row>
    <row r="74" spans="4:6" ht="12.75">
      <c r="D74" s="49"/>
      <c r="E74" s="49"/>
      <c r="F74" s="49"/>
    </row>
    <row r="75" spans="4:6" ht="12.75">
      <c r="D75" s="49"/>
      <c r="E75" s="49"/>
      <c r="F75" s="49"/>
    </row>
    <row r="76" spans="4:6" ht="12.75">
      <c r="D76" s="49"/>
      <c r="E76" s="49"/>
      <c r="F76" s="49"/>
    </row>
    <row r="77" spans="4:6" ht="12.75">
      <c r="D77" s="49"/>
      <c r="E77" s="49"/>
      <c r="F77" s="49"/>
    </row>
    <row r="78" spans="4:6" ht="12.75">
      <c r="D78" s="49"/>
      <c r="E78" s="49"/>
      <c r="F78" s="49"/>
    </row>
    <row r="79" spans="4:6" ht="12.75">
      <c r="D79" s="49"/>
      <c r="E79" s="49"/>
      <c r="F79" s="49"/>
    </row>
    <row r="80" spans="4:6" ht="12.75">
      <c r="D80" s="49"/>
      <c r="E80" s="49"/>
      <c r="F80" s="49"/>
    </row>
    <row r="81" spans="4:6" ht="12.75">
      <c r="D81" s="49"/>
      <c r="E81" s="49"/>
      <c r="F81" s="49"/>
    </row>
    <row r="82" spans="4:6" ht="12.75">
      <c r="D82" s="49"/>
      <c r="E82" s="49"/>
      <c r="F82" s="49"/>
    </row>
    <row r="83" spans="4:6" ht="12.75">
      <c r="D83" s="49"/>
      <c r="E83" s="49"/>
      <c r="F83" s="49"/>
    </row>
    <row r="84" spans="4:6" ht="12.75">
      <c r="D84" s="49"/>
      <c r="E84" s="49"/>
      <c r="F84" s="49"/>
    </row>
    <row r="85" spans="4:6" ht="12.75">
      <c r="D85" s="49"/>
      <c r="E85" s="49"/>
      <c r="F85" s="49"/>
    </row>
    <row r="86" spans="4:6" ht="12.75">
      <c r="D86" s="49"/>
      <c r="E86" s="49"/>
      <c r="F86" s="49"/>
    </row>
    <row r="87" spans="4:6" ht="12.75">
      <c r="D87" s="49"/>
      <c r="E87" s="49"/>
      <c r="F87" s="49"/>
    </row>
    <row r="88" spans="4:6" ht="12.75">
      <c r="D88" s="49"/>
      <c r="E88" s="49"/>
      <c r="F88" s="49"/>
    </row>
    <row r="89" spans="4:6" ht="12.75">
      <c r="D89" s="49"/>
      <c r="E89" s="49"/>
      <c r="F89" s="49"/>
    </row>
    <row r="90" spans="4:6" ht="12.75">
      <c r="D90" s="49"/>
      <c r="E90" s="49"/>
      <c r="F90" s="49"/>
    </row>
    <row r="91" spans="4:6" ht="12.75">
      <c r="D91" s="49"/>
      <c r="E91" s="49"/>
      <c r="F91" s="49"/>
    </row>
    <row r="92" spans="4:6" ht="12.75">
      <c r="D92" s="49"/>
      <c r="E92" s="49"/>
      <c r="F92" s="49"/>
    </row>
    <row r="93" spans="4:6" ht="12.75">
      <c r="D93" s="49"/>
      <c r="E93" s="49"/>
      <c r="F93" s="49"/>
    </row>
    <row r="94" spans="4:6" ht="12.75">
      <c r="D94" s="49"/>
      <c r="E94" s="49"/>
      <c r="F94" s="49"/>
    </row>
    <row r="95" spans="4:6" ht="12.75">
      <c r="D95" s="49"/>
      <c r="E95" s="49"/>
      <c r="F95" s="49"/>
    </row>
    <row r="96" spans="4:6" ht="12.75">
      <c r="D96" s="49"/>
      <c r="E96" s="49"/>
      <c r="F96" s="49"/>
    </row>
    <row r="97" spans="4:6" ht="12.75">
      <c r="D97" s="49"/>
      <c r="E97" s="49"/>
      <c r="F97" s="49"/>
    </row>
    <row r="98" spans="4:6" ht="12.75">
      <c r="D98" s="49"/>
      <c r="E98" s="49"/>
      <c r="F98" s="49"/>
    </row>
    <row r="99" spans="4:6" ht="12.75">
      <c r="D99" s="49"/>
      <c r="E99" s="49"/>
      <c r="F99" s="49"/>
    </row>
    <row r="100" spans="4:6" ht="12.75">
      <c r="D100" s="49"/>
      <c r="E100" s="49"/>
      <c r="F100" s="49"/>
    </row>
    <row r="101" spans="4:6" ht="12.75">
      <c r="D101" s="49"/>
      <c r="E101" s="49"/>
      <c r="F101" s="49"/>
    </row>
    <row r="102" spans="4:6" ht="12.75">
      <c r="D102" s="49"/>
      <c r="E102" s="49"/>
      <c r="F102" s="49"/>
    </row>
    <row r="103" spans="4:6" ht="12.75">
      <c r="D103" s="49"/>
      <c r="E103" s="49"/>
      <c r="F103" s="49"/>
    </row>
    <row r="104" spans="4:6" ht="12.75">
      <c r="D104" s="49"/>
      <c r="E104" s="49"/>
      <c r="F104" s="49"/>
    </row>
    <row r="105" spans="4:6" ht="12.75">
      <c r="D105" s="49"/>
      <c r="E105" s="49"/>
      <c r="F105" s="49"/>
    </row>
    <row r="106" spans="4:6" ht="12.75">
      <c r="D106" s="49"/>
      <c r="E106" s="49"/>
      <c r="F106" s="49"/>
    </row>
    <row r="107" spans="4:6" ht="12.75">
      <c r="D107" s="49"/>
      <c r="E107" s="49"/>
      <c r="F107" s="49"/>
    </row>
    <row r="108" spans="4:6" ht="12.75">
      <c r="D108" s="49"/>
      <c r="E108" s="49"/>
      <c r="F108" s="49"/>
    </row>
    <row r="109" spans="4:6" ht="12.75">
      <c r="D109" s="49"/>
      <c r="E109" s="49"/>
      <c r="F109" s="49"/>
    </row>
    <row r="110" spans="4:6" ht="12.75">
      <c r="D110" s="49"/>
      <c r="E110" s="49"/>
      <c r="F110" s="49"/>
    </row>
    <row r="111" spans="4:6" ht="12.75">
      <c r="D111" s="49"/>
      <c r="E111" s="49"/>
      <c r="F111" s="49"/>
    </row>
    <row r="112" spans="4:6" ht="12.75">
      <c r="D112" s="49"/>
      <c r="E112" s="49"/>
      <c r="F112" s="49"/>
    </row>
    <row r="113" spans="4:6" ht="12.75">
      <c r="D113" s="49"/>
      <c r="E113" s="49"/>
      <c r="F113" s="49"/>
    </row>
    <row r="114" spans="4:6" ht="12.75">
      <c r="D114" s="49"/>
      <c r="E114" s="49"/>
      <c r="F114" s="49"/>
    </row>
    <row r="115" spans="4:6" ht="12.75">
      <c r="D115" s="49"/>
      <c r="E115" s="49"/>
      <c r="F115" s="49"/>
    </row>
    <row r="116" spans="4:6" ht="12.75">
      <c r="D116" s="49"/>
      <c r="E116" s="49"/>
      <c r="F116" s="49"/>
    </row>
    <row r="117" spans="4:6" ht="12.75">
      <c r="D117" s="49"/>
      <c r="E117" s="49"/>
      <c r="F117" s="49"/>
    </row>
    <row r="118" spans="4:6" ht="12.75">
      <c r="D118" s="49"/>
      <c r="E118" s="49"/>
      <c r="F118" s="49"/>
    </row>
    <row r="119" spans="4:6" ht="12.75">
      <c r="D119" s="49"/>
      <c r="E119" s="49"/>
      <c r="F119" s="49"/>
    </row>
    <row r="120" spans="4:6" ht="12.75">
      <c r="D120" s="49"/>
      <c r="E120" s="49"/>
      <c r="F120" s="49"/>
    </row>
    <row r="121" spans="4:6" ht="12.75">
      <c r="D121" s="49"/>
      <c r="E121" s="49"/>
      <c r="F121" s="49"/>
    </row>
    <row r="122" spans="4:6" ht="12.75">
      <c r="D122" s="49"/>
      <c r="E122" s="49"/>
      <c r="F122" s="49"/>
    </row>
    <row r="123" spans="4:6" ht="12.75">
      <c r="D123" s="49"/>
      <c r="E123" s="49"/>
      <c r="F123" s="49"/>
    </row>
    <row r="124" spans="4:6" ht="12.75">
      <c r="D124" s="49"/>
      <c r="E124" s="49"/>
      <c r="F124" s="49"/>
    </row>
    <row r="125" spans="4:6" ht="12.75">
      <c r="D125" s="49"/>
      <c r="E125" s="49"/>
      <c r="F125" s="49"/>
    </row>
    <row r="126" spans="4:6" ht="12.75">
      <c r="D126" s="49"/>
      <c r="E126" s="49"/>
      <c r="F126" s="49"/>
    </row>
    <row r="127" spans="4:6" ht="12.75">
      <c r="D127" s="49"/>
      <c r="E127" s="49"/>
      <c r="F127" s="49"/>
    </row>
    <row r="128" spans="4:6" ht="12.75">
      <c r="D128" s="49"/>
      <c r="E128" s="49"/>
      <c r="F128" s="49"/>
    </row>
    <row r="129" spans="4:6" ht="12.75">
      <c r="D129" s="49"/>
      <c r="E129" s="49"/>
      <c r="F129" s="49"/>
    </row>
    <row r="130" spans="4:6" ht="12.75">
      <c r="D130" s="49"/>
      <c r="E130" s="49"/>
      <c r="F130" s="49"/>
    </row>
    <row r="131" spans="4:6" ht="12.75">
      <c r="D131" s="49"/>
      <c r="E131" s="49"/>
      <c r="F131" s="49"/>
    </row>
    <row r="132" spans="4:6" ht="12.75">
      <c r="D132" s="49"/>
      <c r="E132" s="49"/>
      <c r="F132" s="49"/>
    </row>
    <row r="133" spans="4:6" ht="12.75">
      <c r="D133" s="49"/>
      <c r="E133" s="49"/>
      <c r="F133" s="49"/>
    </row>
    <row r="134" spans="4:6" ht="12.75">
      <c r="D134" s="49"/>
      <c r="E134" s="49"/>
      <c r="F134" s="49"/>
    </row>
    <row r="135" spans="4:6" ht="12.75">
      <c r="D135" s="49"/>
      <c r="E135" s="49"/>
      <c r="F135" s="49"/>
    </row>
    <row r="136" spans="4:6" ht="12.75">
      <c r="D136" s="49"/>
      <c r="E136" s="49"/>
      <c r="F136" s="49"/>
    </row>
    <row r="137" spans="4:6" ht="12.75">
      <c r="D137" s="49"/>
      <c r="E137" s="49"/>
      <c r="F137" s="49"/>
    </row>
    <row r="138" spans="4:6" ht="12.75">
      <c r="D138" s="49"/>
      <c r="E138" s="49"/>
      <c r="F138" s="49"/>
    </row>
    <row r="139" spans="4:6" ht="12.75">
      <c r="D139" s="49"/>
      <c r="E139" s="49"/>
      <c r="F139" s="49"/>
    </row>
    <row r="140" spans="4:6" ht="12.75">
      <c r="D140" s="49"/>
      <c r="E140" s="49"/>
      <c r="F140" s="49"/>
    </row>
    <row r="141" spans="4:6" ht="12.75">
      <c r="D141" s="49"/>
      <c r="E141" s="49"/>
      <c r="F141" s="49"/>
    </row>
    <row r="142" spans="4:6" ht="12.75">
      <c r="D142" s="49"/>
      <c r="E142" s="49"/>
      <c r="F142" s="49"/>
    </row>
    <row r="143" spans="4:6" ht="12.75">
      <c r="D143" s="49"/>
      <c r="E143" s="49"/>
      <c r="F143" s="49"/>
    </row>
    <row r="144" spans="4:6" ht="12.75">
      <c r="D144" s="49"/>
      <c r="E144" s="49"/>
      <c r="F144" s="49"/>
    </row>
    <row r="145" spans="4:6" ht="12.75">
      <c r="D145" s="49"/>
      <c r="E145" s="49"/>
      <c r="F145" s="49"/>
    </row>
    <row r="146" spans="4:6" ht="12.75">
      <c r="D146" s="49"/>
      <c r="E146" s="49"/>
      <c r="F146" s="49"/>
    </row>
    <row r="147" spans="4:6" ht="12.75">
      <c r="D147" s="49"/>
      <c r="E147" s="49"/>
      <c r="F147" s="49"/>
    </row>
    <row r="148" spans="4:6" ht="12.75">
      <c r="D148" s="49"/>
      <c r="E148" s="49"/>
      <c r="F148" s="49"/>
    </row>
    <row r="149" spans="4:6" ht="12.75">
      <c r="D149" s="49"/>
      <c r="E149" s="49"/>
      <c r="F149" s="49"/>
    </row>
    <row r="150" spans="4:6" ht="12.75">
      <c r="D150" s="49"/>
      <c r="E150" s="49"/>
      <c r="F150" s="49"/>
    </row>
    <row r="151" spans="4:6" ht="12.75">
      <c r="D151" s="49"/>
      <c r="E151" s="49"/>
      <c r="F151" s="49"/>
    </row>
    <row r="152" spans="4:6" ht="12.75">
      <c r="D152" s="49"/>
      <c r="E152" s="49"/>
      <c r="F152" s="49"/>
    </row>
    <row r="153" spans="4:6" ht="12.75">
      <c r="D153" s="49"/>
      <c r="E153" s="49"/>
      <c r="F153" s="49"/>
    </row>
    <row r="154" spans="4:6" ht="12.75">
      <c r="D154" s="49"/>
      <c r="E154" s="49"/>
      <c r="F154" s="49"/>
    </row>
    <row r="155" spans="4:6" ht="12.75">
      <c r="D155" s="49"/>
      <c r="E155" s="49"/>
      <c r="F155" s="49"/>
    </row>
    <row r="156" spans="4:6" ht="12.75">
      <c r="D156" s="49"/>
      <c r="E156" s="49"/>
      <c r="F156" s="49"/>
    </row>
    <row r="157" spans="4:6" ht="12.75">
      <c r="D157" s="49"/>
      <c r="E157" s="49"/>
      <c r="F157" s="49"/>
    </row>
    <row r="158" spans="4:6" ht="12.75">
      <c r="D158" s="49"/>
      <c r="E158" s="49"/>
      <c r="F158" s="49"/>
    </row>
    <row r="159" spans="4:6" ht="12.75">
      <c r="D159" s="49"/>
      <c r="E159" s="49"/>
      <c r="F159" s="49"/>
    </row>
    <row r="160" spans="4:6" ht="12.75">
      <c r="D160" s="49"/>
      <c r="E160" s="49"/>
      <c r="F160" s="49"/>
    </row>
    <row r="161" spans="4:6" ht="12.75">
      <c r="D161" s="49"/>
      <c r="E161" s="49"/>
      <c r="F161" s="49"/>
    </row>
    <row r="162" spans="4:6" ht="12.75">
      <c r="D162" s="49"/>
      <c r="E162" s="49"/>
      <c r="F162" s="49"/>
    </row>
    <row r="163" spans="4:6" ht="12.75">
      <c r="D163" s="49"/>
      <c r="E163" s="49"/>
      <c r="F163" s="49"/>
    </row>
    <row r="164" spans="4:6" ht="12.75">
      <c r="D164" s="49"/>
      <c r="E164" s="49"/>
      <c r="F164" s="49"/>
    </row>
    <row r="165" spans="4:6" ht="12.75">
      <c r="D165" s="49"/>
      <c r="E165" s="49"/>
      <c r="F165" s="49"/>
    </row>
    <row r="166" spans="4:6" ht="12.75">
      <c r="D166" s="49"/>
      <c r="E166" s="49"/>
      <c r="F166" s="49"/>
    </row>
    <row r="167" spans="4:6" ht="12.75">
      <c r="D167" s="49"/>
      <c r="E167" s="49"/>
      <c r="F167" s="49"/>
    </row>
    <row r="168" spans="4:6" ht="12.75">
      <c r="D168" s="49"/>
      <c r="E168" s="49"/>
      <c r="F168" s="49"/>
    </row>
    <row r="169" spans="4:6" ht="12.75">
      <c r="D169" s="49"/>
      <c r="E169" s="49"/>
      <c r="F169" s="49"/>
    </row>
    <row r="170" spans="4:6" ht="12.75">
      <c r="D170" s="49"/>
      <c r="E170" s="49"/>
      <c r="F170" s="49"/>
    </row>
    <row r="171" spans="4:6" ht="12.75">
      <c r="D171" s="49"/>
      <c r="E171" s="49"/>
      <c r="F171" s="49"/>
    </row>
    <row r="172" spans="4:6" ht="12.75">
      <c r="D172" s="49"/>
      <c r="E172" s="49"/>
      <c r="F172" s="49"/>
    </row>
    <row r="173" spans="4:6" ht="12.75">
      <c r="D173" s="49"/>
      <c r="E173" s="49"/>
      <c r="F173" s="49"/>
    </row>
    <row r="174" spans="4:6" ht="12.75">
      <c r="D174" s="49"/>
      <c r="E174" s="49"/>
      <c r="F174" s="49"/>
    </row>
    <row r="175" spans="4:6" ht="12.75">
      <c r="D175" s="49"/>
      <c r="E175" s="49"/>
      <c r="F175" s="49"/>
    </row>
    <row r="176" spans="4:6" ht="12.75">
      <c r="D176" s="49"/>
      <c r="E176" s="49"/>
      <c r="F176" s="49"/>
    </row>
    <row r="177" spans="4:6" ht="12.75">
      <c r="D177" s="49"/>
      <c r="E177" s="49"/>
      <c r="F177" s="49"/>
    </row>
    <row r="178" spans="4:6" ht="12.75">
      <c r="D178" s="49"/>
      <c r="E178" s="49"/>
      <c r="F178" s="49"/>
    </row>
    <row r="179" spans="4:6" ht="12.75">
      <c r="D179" s="49"/>
      <c r="E179" s="49"/>
      <c r="F179" s="49"/>
    </row>
    <row r="180" spans="4:6" ht="12.75">
      <c r="D180" s="49"/>
      <c r="E180" s="49"/>
      <c r="F180" s="49"/>
    </row>
    <row r="181" spans="4:6" ht="12.75">
      <c r="D181" s="49"/>
      <c r="E181" s="49"/>
      <c r="F181" s="49"/>
    </row>
    <row r="182" spans="4:6" ht="12.75">
      <c r="D182" s="49"/>
      <c r="E182" s="49"/>
      <c r="F182" s="49"/>
    </row>
    <row r="183" spans="4:6" ht="12.75">
      <c r="D183" s="49"/>
      <c r="E183" s="49"/>
      <c r="F183" s="49"/>
    </row>
    <row r="184" spans="4:6" ht="12.75">
      <c r="D184" s="49"/>
      <c r="E184" s="49"/>
      <c r="F184" s="49"/>
    </row>
    <row r="185" spans="4:6" ht="12.75">
      <c r="D185" s="49"/>
      <c r="E185" s="49"/>
      <c r="F185" s="49"/>
    </row>
    <row r="186" spans="4:6" ht="12.75">
      <c r="D186" s="49"/>
      <c r="E186" s="49"/>
      <c r="F186" s="49"/>
    </row>
    <row r="187" spans="4:6" ht="12.75">
      <c r="D187" s="49"/>
      <c r="E187" s="49"/>
      <c r="F187" s="49"/>
    </row>
    <row r="188" spans="4:6" ht="12.75">
      <c r="D188" s="49"/>
      <c r="E188" s="49"/>
      <c r="F188" s="49"/>
    </row>
    <row r="189" spans="4:6" ht="12.75">
      <c r="D189" s="49"/>
      <c r="E189" s="49"/>
      <c r="F189" s="49"/>
    </row>
    <row r="190" spans="4:6" ht="12.75">
      <c r="D190" s="49"/>
      <c r="E190" s="49"/>
      <c r="F190" s="49"/>
    </row>
    <row r="191" spans="4:6" ht="12.75">
      <c r="D191" s="49"/>
      <c r="E191" s="49"/>
      <c r="F191" s="49"/>
    </row>
    <row r="192" spans="4:6" ht="12.75">
      <c r="D192" s="49"/>
      <c r="E192" s="49"/>
      <c r="F192" s="49"/>
    </row>
    <row r="193" spans="4:6" ht="12.75">
      <c r="D193" s="49"/>
      <c r="E193" s="49"/>
      <c r="F193" s="49"/>
    </row>
    <row r="194" spans="4:6" ht="12.75">
      <c r="D194" s="49"/>
      <c r="E194" s="49"/>
      <c r="F194" s="49"/>
    </row>
    <row r="195" spans="4:6" ht="12.75">
      <c r="D195" s="49"/>
      <c r="E195" s="49"/>
      <c r="F195" s="49"/>
    </row>
    <row r="196" spans="4:6" ht="12.75">
      <c r="D196" s="49"/>
      <c r="E196" s="49"/>
      <c r="F196" s="49"/>
    </row>
    <row r="197" spans="4:6" ht="12.75">
      <c r="D197" s="49"/>
      <c r="E197" s="49"/>
      <c r="F197" s="49"/>
    </row>
    <row r="198" spans="4:6" ht="12.75">
      <c r="D198" s="49"/>
      <c r="E198" s="49"/>
      <c r="F198" s="49"/>
    </row>
    <row r="199" spans="4:6" ht="12.75">
      <c r="D199" s="49"/>
      <c r="E199" s="49"/>
      <c r="F199" s="49"/>
    </row>
    <row r="200" spans="4:6" ht="12.75">
      <c r="D200" s="49"/>
      <c r="E200" s="49"/>
      <c r="F200" s="49"/>
    </row>
    <row r="201" spans="4:6" ht="12.75">
      <c r="D201" s="49"/>
      <c r="E201" s="49"/>
      <c r="F201" s="49"/>
    </row>
    <row r="202" spans="4:6" ht="12.75">
      <c r="D202" s="49"/>
      <c r="E202" s="49"/>
      <c r="F202" s="49"/>
    </row>
    <row r="203" spans="4:6" ht="12.75">
      <c r="D203" s="49"/>
      <c r="E203" s="49"/>
      <c r="F203" s="49"/>
    </row>
    <row r="204" spans="4:6" ht="12.75">
      <c r="D204" s="49"/>
      <c r="E204" s="49"/>
      <c r="F204" s="49"/>
    </row>
    <row r="205" spans="4:6" ht="12.75">
      <c r="D205" s="49"/>
      <c r="E205" s="49"/>
      <c r="F205" s="49"/>
    </row>
    <row r="206" spans="4:6" ht="12.75">
      <c r="D206" s="49"/>
      <c r="E206" s="49"/>
      <c r="F206" s="49"/>
    </row>
  </sheetData>
  <sheetProtection/>
  <mergeCells count="3">
    <mergeCell ref="C5:D5"/>
    <mergeCell ref="F5:G5"/>
    <mergeCell ref="A43:G43"/>
  </mergeCells>
  <printOptions horizontalCentered="1"/>
  <pageMargins left="0.5905511811023623" right="0" top="0.5118110236220472" bottom="0.7874015748031497" header="0.35433070866141736" footer="0.31496062992125984"/>
  <pageSetup fitToHeight="1"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F37" sqref="F37"/>
    </sheetView>
  </sheetViews>
  <sheetFormatPr defaultColWidth="9.33203125" defaultRowHeight="12.75"/>
  <cols>
    <col min="1" max="1" width="43.66015625" style="19" customWidth="1"/>
    <col min="2" max="2" width="7.16015625" style="19" bestFit="1" customWidth="1"/>
    <col min="3" max="3" width="19.83203125" style="50" customWidth="1"/>
    <col min="4" max="4" width="18.5" style="19" customWidth="1"/>
    <col min="5" max="16384" width="9.33203125" style="19" customWidth="1"/>
  </cols>
  <sheetData>
    <row r="1" spans="1:4" ht="16.5">
      <c r="A1" s="2" t="s">
        <v>32</v>
      </c>
      <c r="B1" s="3"/>
      <c r="D1" s="5" t="str">
        <f>'Income Stt'!G1</f>
        <v>Date : 26 · 02 · 2014</v>
      </c>
    </row>
    <row r="2" spans="1:2" ht="13.5">
      <c r="A2" s="6" t="s">
        <v>81</v>
      </c>
      <c r="B2" s="3"/>
    </row>
    <row r="3" spans="2:4" ht="13.5">
      <c r="B3" s="3"/>
      <c r="C3" s="24" t="s">
        <v>8</v>
      </c>
      <c r="D3" s="24" t="s">
        <v>8</v>
      </c>
    </row>
    <row r="4" spans="2:4" ht="13.5">
      <c r="B4" s="3"/>
      <c r="C4" s="25">
        <f>'Income Stt'!C6</f>
        <v>41639</v>
      </c>
      <c r="D4" s="25">
        <v>41455</v>
      </c>
    </row>
    <row r="5" spans="2:4" ht="25.5">
      <c r="B5" s="3"/>
      <c r="C5" s="24" t="s">
        <v>1</v>
      </c>
      <c r="D5" s="22" t="s">
        <v>63</v>
      </c>
    </row>
    <row r="6" spans="2:3" ht="13.5">
      <c r="B6" s="3"/>
      <c r="C6" s="35"/>
    </row>
    <row r="7" ht="12.75">
      <c r="A7" s="17" t="s">
        <v>9</v>
      </c>
    </row>
    <row r="8" ht="12.75">
      <c r="A8" s="11" t="s">
        <v>10</v>
      </c>
    </row>
    <row r="9" spans="1:4" ht="12.75">
      <c r="A9" s="19" t="s">
        <v>11</v>
      </c>
      <c r="C9" s="49">
        <f>90785</f>
        <v>90785</v>
      </c>
      <c r="D9" s="49">
        <v>88281</v>
      </c>
    </row>
    <row r="10" spans="1:4" ht="12.75">
      <c r="A10" s="19" t="s">
        <v>36</v>
      </c>
      <c r="C10" s="49">
        <v>6659</v>
      </c>
      <c r="D10" s="49">
        <v>6673</v>
      </c>
    </row>
    <row r="11" spans="1:4" ht="12.75">
      <c r="A11" s="19" t="s">
        <v>82</v>
      </c>
      <c r="C11" s="49">
        <v>3010</v>
      </c>
      <c r="D11" s="49">
        <v>2911</v>
      </c>
    </row>
    <row r="12" spans="1:4" ht="12.75">
      <c r="A12" s="19" t="s">
        <v>54</v>
      </c>
      <c r="C12" s="49">
        <v>175</v>
      </c>
      <c r="D12" s="49">
        <v>175</v>
      </c>
    </row>
    <row r="13" spans="1:4" ht="12.75">
      <c r="A13" s="19" t="s">
        <v>55</v>
      </c>
      <c r="C13" s="49">
        <v>560</v>
      </c>
      <c r="D13" s="49">
        <v>560</v>
      </c>
    </row>
    <row r="14" spans="1:4" ht="12.75">
      <c r="A14" s="19" t="s">
        <v>12</v>
      </c>
      <c r="C14" s="49">
        <v>760</v>
      </c>
      <c r="D14" s="49">
        <v>1306</v>
      </c>
    </row>
    <row r="15" spans="3:4" ht="12.75">
      <c r="C15" s="49"/>
      <c r="D15" s="49"/>
    </row>
    <row r="16" spans="3:4" s="11" customFormat="1" ht="12.75">
      <c r="C16" s="18">
        <f>SUM(C9:C15)</f>
        <v>101949</v>
      </c>
      <c r="D16" s="18">
        <f>SUM(D9:D15)</f>
        <v>99906</v>
      </c>
    </row>
    <row r="17" spans="3:4" ht="12.75">
      <c r="C17" s="49"/>
      <c r="D17" s="49"/>
    </row>
    <row r="18" spans="1:4" ht="12.75">
      <c r="A18" s="11" t="s">
        <v>13</v>
      </c>
      <c r="C18" s="49"/>
      <c r="D18" s="49"/>
    </row>
    <row r="19" spans="1:4" ht="12.75">
      <c r="A19" s="19" t="s">
        <v>14</v>
      </c>
      <c r="C19" s="49">
        <v>231872</v>
      </c>
      <c r="D19" s="49">
        <v>143838</v>
      </c>
    </row>
    <row r="20" spans="1:4" ht="12.75">
      <c r="A20" s="19" t="s">
        <v>15</v>
      </c>
      <c r="C20" s="49">
        <v>27880</v>
      </c>
      <c r="D20" s="49">
        <v>23124</v>
      </c>
    </row>
    <row r="21" spans="1:4" ht="12.75">
      <c r="A21" s="19" t="s">
        <v>16</v>
      </c>
      <c r="C21" s="49">
        <v>34341</v>
      </c>
      <c r="D21" s="49">
        <v>26485</v>
      </c>
    </row>
    <row r="22" spans="1:4" ht="12.75">
      <c r="A22" s="19" t="s">
        <v>65</v>
      </c>
      <c r="C22" s="49">
        <v>404</v>
      </c>
      <c r="D22" s="49">
        <v>443</v>
      </c>
    </row>
    <row r="23" spans="1:4" ht="12.75">
      <c r="A23" s="19" t="s">
        <v>58</v>
      </c>
      <c r="C23" s="49">
        <v>12490</v>
      </c>
      <c r="D23" s="49">
        <v>12323</v>
      </c>
    </row>
    <row r="24" spans="1:4" ht="12.75">
      <c r="A24" s="19" t="s">
        <v>66</v>
      </c>
      <c r="C24" s="51">
        <v>212896</v>
      </c>
      <c r="D24" s="49">
        <v>206226</v>
      </c>
    </row>
    <row r="25" spans="3:4" s="11" customFormat="1" ht="12.75">
      <c r="C25" s="18">
        <f>SUM(C19:C24)</f>
        <v>519883</v>
      </c>
      <c r="D25" s="18">
        <f>SUM(D19:D24)</f>
        <v>412439</v>
      </c>
    </row>
    <row r="26" spans="1:4" ht="12.75">
      <c r="A26" s="46"/>
      <c r="C26" s="65"/>
      <c r="D26" s="65"/>
    </row>
    <row r="27" spans="1:4" s="11" customFormat="1" ht="13.5" thickBot="1">
      <c r="A27" s="11" t="s">
        <v>17</v>
      </c>
      <c r="C27" s="12">
        <f>SUM(C16,C25)</f>
        <v>621832</v>
      </c>
      <c r="D27" s="12">
        <f>SUM(D16,D25)</f>
        <v>512345</v>
      </c>
    </row>
    <row r="28" spans="3:4" ht="24.75" customHeight="1" thickTop="1">
      <c r="C28" s="49"/>
      <c r="D28" s="49"/>
    </row>
    <row r="29" spans="1:4" ht="12.75">
      <c r="A29" s="17" t="s">
        <v>18</v>
      </c>
      <c r="C29" s="49"/>
      <c r="D29" s="49"/>
    </row>
    <row r="30" spans="1:4" ht="12.75">
      <c r="A30" s="11" t="s">
        <v>67</v>
      </c>
      <c r="C30" s="49"/>
      <c r="D30" s="49"/>
    </row>
    <row r="31" spans="1:4" ht="12.75">
      <c r="A31" s="19" t="s">
        <v>19</v>
      </c>
      <c r="C31" s="49">
        <v>65791</v>
      </c>
      <c r="D31" s="49">
        <v>65791</v>
      </c>
    </row>
    <row r="32" spans="1:4" ht="12.75">
      <c r="A32" s="19" t="s">
        <v>20</v>
      </c>
      <c r="C32" s="49">
        <v>3772</v>
      </c>
      <c r="D32" s="49">
        <v>3772</v>
      </c>
    </row>
    <row r="33" spans="1:4" ht="12.75">
      <c r="A33" s="19" t="s">
        <v>21</v>
      </c>
      <c r="C33" s="49">
        <f>-591+55</f>
        <v>-536</v>
      </c>
      <c r="D33" s="49">
        <f>-1236+55</f>
        <v>-1181</v>
      </c>
    </row>
    <row r="34" spans="1:4" ht="12.75">
      <c r="A34" s="19" t="s">
        <v>22</v>
      </c>
      <c r="C34" s="51">
        <f>'Changes in Equity'!G19</f>
        <v>317217</v>
      </c>
      <c r="D34" s="49">
        <v>303844</v>
      </c>
    </row>
    <row r="35" spans="1:4" s="11" customFormat="1" ht="12.75">
      <c r="A35" s="11" t="s">
        <v>23</v>
      </c>
      <c r="C35" s="18">
        <f>SUM(C31:C34)</f>
        <v>386244</v>
      </c>
      <c r="D35" s="18">
        <f>SUM(D31:D34)</f>
        <v>372226</v>
      </c>
    </row>
    <row r="36" spans="3:4" ht="12.75">
      <c r="C36" s="49"/>
      <c r="D36" s="49"/>
    </row>
    <row r="37" spans="1:4" ht="12.75">
      <c r="A37" s="11" t="s">
        <v>68</v>
      </c>
      <c r="C37" s="49"/>
      <c r="D37" s="49"/>
    </row>
    <row r="38" spans="1:4" ht="12.75">
      <c r="A38" s="19" t="s">
        <v>83</v>
      </c>
      <c r="C38" s="49">
        <v>15492</v>
      </c>
      <c r="D38" s="49">
        <v>17238</v>
      </c>
    </row>
    <row r="39" spans="1:4" ht="12.75">
      <c r="A39" s="19" t="s">
        <v>84</v>
      </c>
      <c r="C39" s="49">
        <v>4089</v>
      </c>
      <c r="D39" s="49">
        <v>3904</v>
      </c>
    </row>
    <row r="40" spans="1:4" ht="12.75">
      <c r="A40" s="19" t="s">
        <v>25</v>
      </c>
      <c r="C40" s="49">
        <v>2615</v>
      </c>
      <c r="D40" s="49">
        <v>2359</v>
      </c>
    </row>
    <row r="41" spans="3:4" s="11" customFormat="1" ht="12.75">
      <c r="C41" s="18">
        <f>SUM(C38:C40)</f>
        <v>22196</v>
      </c>
      <c r="D41" s="18">
        <f>SUM(D38:D40)</f>
        <v>23501</v>
      </c>
    </row>
    <row r="42" spans="3:4" ht="12.75">
      <c r="C42" s="49"/>
      <c r="D42" s="49"/>
    </row>
    <row r="43" spans="1:4" ht="12.75">
      <c r="A43" s="11" t="s">
        <v>26</v>
      </c>
      <c r="C43" s="49"/>
      <c r="D43" s="49"/>
    </row>
    <row r="44" spans="1:4" ht="12.75">
      <c r="A44" s="19" t="s">
        <v>24</v>
      </c>
      <c r="C44" s="49">
        <v>3516</v>
      </c>
      <c r="D44" s="49">
        <v>3836</v>
      </c>
    </row>
    <row r="45" spans="1:4" ht="12.75">
      <c r="A45" s="19" t="s">
        <v>84</v>
      </c>
      <c r="C45" s="49">
        <v>639</v>
      </c>
      <c r="D45" s="49">
        <v>481</v>
      </c>
    </row>
    <row r="46" spans="1:4" ht="12.75">
      <c r="A46" s="19" t="s">
        <v>83</v>
      </c>
      <c r="C46" s="49">
        <v>42261</v>
      </c>
      <c r="D46" s="49">
        <v>18726</v>
      </c>
    </row>
    <row r="47" spans="1:4" ht="12.75">
      <c r="A47" s="19" t="s">
        <v>27</v>
      </c>
      <c r="C47" s="49">
        <v>124347</v>
      </c>
      <c r="D47" s="49">
        <v>69445</v>
      </c>
    </row>
    <row r="48" spans="1:4" ht="12.75">
      <c r="A48" s="19" t="s">
        <v>28</v>
      </c>
      <c r="C48" s="49">
        <f>25661.83-135</f>
        <v>25526.83</v>
      </c>
      <c r="D48" s="49">
        <v>15692</v>
      </c>
    </row>
    <row r="49" spans="1:4" ht="12.75">
      <c r="A49" s="19" t="s">
        <v>29</v>
      </c>
      <c r="C49" s="49">
        <v>17102</v>
      </c>
      <c r="D49" s="49">
        <v>8438</v>
      </c>
    </row>
    <row r="50" spans="1:4" ht="12.75">
      <c r="A50" s="19" t="s">
        <v>30</v>
      </c>
      <c r="C50" s="51">
        <v>0</v>
      </c>
      <c r="D50" s="49">
        <v>0</v>
      </c>
    </row>
    <row r="51" spans="3:4" s="11" customFormat="1" ht="12.75">
      <c r="C51" s="18">
        <f>SUM(C44:C50)</f>
        <v>213391.83000000002</v>
      </c>
      <c r="D51" s="18">
        <f>SUM(D44:D50)</f>
        <v>116618</v>
      </c>
    </row>
    <row r="52" spans="3:4" s="11" customFormat="1" ht="6" customHeight="1">
      <c r="C52" s="18"/>
      <c r="D52" s="18"/>
    </row>
    <row r="53" spans="1:4" s="11" customFormat="1" ht="12.75">
      <c r="A53" s="11" t="s">
        <v>31</v>
      </c>
      <c r="C53" s="18">
        <f>SUM(C41,C51)</f>
        <v>235587.83000000002</v>
      </c>
      <c r="D53" s="18">
        <f>SUM(D41,D51)</f>
        <v>140119</v>
      </c>
    </row>
    <row r="54" spans="3:4" s="11" customFormat="1" ht="9.75" customHeight="1">
      <c r="C54" s="32"/>
      <c r="D54" s="32"/>
    </row>
    <row r="55" spans="1:4" s="11" customFormat="1" ht="13.5" thickBot="1">
      <c r="A55" s="11" t="s">
        <v>85</v>
      </c>
      <c r="C55" s="12">
        <f>C53+C35</f>
        <v>621831.8300000001</v>
      </c>
      <c r="D55" s="12">
        <f>D53+D35</f>
        <v>512345</v>
      </c>
    </row>
    <row r="56" spans="3:4" ht="13.5" thickTop="1">
      <c r="C56" s="100">
        <f>C55-C27</f>
        <v>-0.1699999999254942</v>
      </c>
      <c r="D56" s="49">
        <f>D55-D27</f>
        <v>0</v>
      </c>
    </row>
    <row r="57" spans="1:4" ht="12.75">
      <c r="A57" s="11" t="s">
        <v>34</v>
      </c>
      <c r="C57" s="4">
        <f>C35/657909.5</f>
        <v>0.5870777059762778</v>
      </c>
      <c r="D57" s="4">
        <f>D35/657909.5</f>
        <v>0.5657708241027072</v>
      </c>
    </row>
    <row r="58" ht="12.75">
      <c r="D58" s="49"/>
    </row>
    <row r="59" spans="3:4" ht="12.75">
      <c r="C59" s="49"/>
      <c r="D59" s="49"/>
    </row>
    <row r="60" spans="1:4" ht="12.75">
      <c r="A60" s="29"/>
      <c r="D60" s="49"/>
    </row>
    <row r="61" ht="12.75">
      <c r="D61" s="49"/>
    </row>
    <row r="62" spans="1:4" ht="41.25" customHeight="1">
      <c r="A62" s="104" t="s">
        <v>126</v>
      </c>
      <c r="B62" s="104"/>
      <c r="C62" s="104"/>
      <c r="D62" s="104"/>
    </row>
    <row r="63" ht="12.75">
      <c r="D63" s="49"/>
    </row>
    <row r="64" ht="12.75">
      <c r="D64" s="49"/>
    </row>
    <row r="65" ht="12.75">
      <c r="D65" s="49"/>
    </row>
    <row r="66" ht="12.75">
      <c r="D66" s="49"/>
    </row>
    <row r="67" ht="12.75">
      <c r="D67" s="49"/>
    </row>
  </sheetData>
  <sheetProtection/>
  <mergeCells count="1">
    <mergeCell ref="A62:D62"/>
  </mergeCells>
  <conditionalFormatting sqref="C56:D56">
    <cfRule type="cellIs" priority="1" dxfId="2" operator="equal" stopIfTrue="1">
      <formula>0</formula>
    </cfRule>
  </conditionalFormatting>
  <printOptions horizontalCentered="1" verticalCentered="1"/>
  <pageMargins left="0.3937007874015748" right="0" top="0.5118110236220472" bottom="0.7874015748031497" header="0.35433070866141736" footer="0.31496062992125984"/>
  <pageSetup fitToHeight="1" fitToWidth="1"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AT40"/>
  <sheetViews>
    <sheetView zoomScalePageLayoutView="0" workbookViewId="0" topLeftCell="A1">
      <pane xSplit="2" ySplit="7" topLeftCell="C8" activePane="bottomRight" state="frozen"/>
      <selection pane="topLeft" activeCell="F37" sqref="F37"/>
      <selection pane="topRight" activeCell="F37" sqref="F37"/>
      <selection pane="bottomLeft" activeCell="F37" sqref="F37"/>
      <selection pane="bottomRight" activeCell="A9" sqref="A9"/>
    </sheetView>
  </sheetViews>
  <sheetFormatPr defaultColWidth="9.33203125" defaultRowHeight="12.75"/>
  <cols>
    <col min="1" max="1" width="41.5" style="19" customWidth="1"/>
    <col min="2" max="2" width="5.33203125" style="19" bestFit="1" customWidth="1"/>
    <col min="3" max="7" width="20.33203125" style="50" customWidth="1"/>
    <col min="8" max="8" width="20.33203125" style="4" customWidth="1"/>
    <col min="9" max="9" width="10.16015625" style="50" bestFit="1" customWidth="1"/>
    <col min="10" max="46" width="9.33203125" style="50" customWidth="1"/>
    <col min="47" max="16384" width="9.33203125" style="19" customWidth="1"/>
  </cols>
  <sheetData>
    <row r="1" spans="1:8" ht="16.5">
      <c r="A1" s="2" t="s">
        <v>32</v>
      </c>
      <c r="B1" s="3"/>
      <c r="H1" s="5" t="str">
        <f>'Income Stt'!G1</f>
        <v>Date : 26 · 02 · 2014</v>
      </c>
    </row>
    <row r="2" spans="1:2" ht="13.5">
      <c r="A2" s="6" t="s">
        <v>60</v>
      </c>
      <c r="B2" s="3"/>
    </row>
    <row r="3" spans="1:2" ht="13.5">
      <c r="A3" s="6" t="s">
        <v>64</v>
      </c>
      <c r="B3" s="3"/>
    </row>
    <row r="4" ht="12.75"/>
    <row r="5" spans="3:46" s="57" customFormat="1" ht="12.75">
      <c r="C5" s="105" t="s">
        <v>93</v>
      </c>
      <c r="D5" s="105"/>
      <c r="E5" s="105"/>
      <c r="F5" s="105"/>
      <c r="G5" s="105"/>
      <c r="H5" s="106" t="s">
        <v>94</v>
      </c>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row>
    <row r="6" spans="3:46" s="57" customFormat="1" ht="12.75">
      <c r="C6" s="3"/>
      <c r="D6" s="102" t="s">
        <v>95</v>
      </c>
      <c r="E6" s="102"/>
      <c r="F6" s="102"/>
      <c r="G6" s="7" t="s">
        <v>33</v>
      </c>
      <c r="H6" s="106"/>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row>
    <row r="7" spans="2:46" s="63" customFormat="1" ht="38.25">
      <c r="B7" s="8"/>
      <c r="C7" s="9" t="s">
        <v>19</v>
      </c>
      <c r="D7" s="9" t="s">
        <v>20</v>
      </c>
      <c r="E7" s="9" t="s">
        <v>123</v>
      </c>
      <c r="F7" s="9" t="s">
        <v>92</v>
      </c>
      <c r="G7" s="9" t="s">
        <v>22</v>
      </c>
      <c r="H7" s="106"/>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row>
    <row r="8" spans="3:46" s="57" customFormat="1" ht="12.75">
      <c r="C8" s="7" t="s">
        <v>1</v>
      </c>
      <c r="D8" s="7" t="s">
        <v>1</v>
      </c>
      <c r="E8" s="7" t="s">
        <v>1</v>
      </c>
      <c r="F8" s="7" t="s">
        <v>1</v>
      </c>
      <c r="G8" s="7" t="s">
        <v>1</v>
      </c>
      <c r="H8" s="7" t="s">
        <v>1</v>
      </c>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row>
    <row r="9" spans="1:46" s="59" customFormat="1" ht="12.75">
      <c r="A9" s="39" t="s">
        <v>121</v>
      </c>
      <c r="C9" s="65">
        <f>C34</f>
        <v>65791</v>
      </c>
      <c r="D9" s="65">
        <f>D34</f>
        <v>3772</v>
      </c>
      <c r="E9" s="65">
        <v>55</v>
      </c>
      <c r="F9" s="65">
        <v>-1236</v>
      </c>
      <c r="G9" s="65">
        <v>303844</v>
      </c>
      <c r="H9" s="40">
        <f>SUM(C9:G9)</f>
        <v>372226</v>
      </c>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row>
    <row r="10" spans="1:46" s="59" customFormat="1" ht="5.25" customHeight="1">
      <c r="A10" s="39"/>
      <c r="C10" s="65"/>
      <c r="D10" s="65"/>
      <c r="E10" s="65"/>
      <c r="F10" s="65"/>
      <c r="G10" s="65"/>
      <c r="H10" s="40"/>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row>
    <row r="11" spans="1:46" s="70" customFormat="1" ht="12.75">
      <c r="A11" s="41" t="s">
        <v>87</v>
      </c>
      <c r="B11" s="67"/>
      <c r="C11" s="68">
        <v>0</v>
      </c>
      <c r="D11" s="68">
        <v>0</v>
      </c>
      <c r="E11" s="68">
        <v>0</v>
      </c>
      <c r="F11" s="68">
        <v>0</v>
      </c>
      <c r="G11" s="68">
        <f>'Income Stt'!F30</f>
        <v>56137</v>
      </c>
      <c r="H11" s="23">
        <f>SUM(C11:G11)</f>
        <v>56137</v>
      </c>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row>
    <row r="12" spans="1:46" s="70" customFormat="1" ht="12.75">
      <c r="A12" s="81" t="s">
        <v>49</v>
      </c>
      <c r="B12" s="72"/>
      <c r="C12" s="58">
        <v>0</v>
      </c>
      <c r="D12" s="58">
        <v>0</v>
      </c>
      <c r="E12" s="58">
        <v>0</v>
      </c>
      <c r="F12" s="58">
        <f>'Income Stt'!F26</f>
        <v>645</v>
      </c>
      <c r="G12" s="58">
        <v>0</v>
      </c>
      <c r="H12" s="34">
        <f>SUM(C12:G12)</f>
        <v>645</v>
      </c>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row>
    <row r="13" spans="1:46" s="83" customFormat="1" ht="12.75">
      <c r="A13" s="82" t="s">
        <v>88</v>
      </c>
      <c r="C13" s="43">
        <f aca="true" t="shared" si="0" ref="C13:H13">SUM(C11:C12)</f>
        <v>0</v>
      </c>
      <c r="D13" s="43">
        <f t="shared" si="0"/>
        <v>0</v>
      </c>
      <c r="E13" s="43">
        <f t="shared" si="0"/>
        <v>0</v>
      </c>
      <c r="F13" s="43">
        <f>SUM(F11:F12)</f>
        <v>645</v>
      </c>
      <c r="G13" s="43">
        <f t="shared" si="0"/>
        <v>56137</v>
      </c>
      <c r="H13" s="43">
        <f t="shared" si="0"/>
        <v>56782</v>
      </c>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row>
    <row r="14" spans="1:46" s="70" customFormat="1" ht="12.75">
      <c r="A14" s="80"/>
      <c r="C14" s="71"/>
      <c r="D14" s="71"/>
      <c r="E14" s="71"/>
      <c r="F14" s="71"/>
      <c r="G14" s="71"/>
      <c r="H14" s="43"/>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row>
    <row r="15" spans="1:46" s="70" customFormat="1" ht="12.75">
      <c r="A15" s="82" t="s">
        <v>89</v>
      </c>
      <c r="C15" s="71"/>
      <c r="D15" s="71"/>
      <c r="E15" s="71"/>
      <c r="F15" s="71"/>
      <c r="G15" s="71"/>
      <c r="H15" s="43"/>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row>
    <row r="16" spans="1:46" s="70" customFormat="1" ht="12.75">
      <c r="A16" s="85" t="s">
        <v>74</v>
      </c>
      <c r="B16" s="86"/>
      <c r="C16" s="87">
        <v>0</v>
      </c>
      <c r="D16" s="87">
        <v>0</v>
      </c>
      <c r="E16" s="87">
        <v>0</v>
      </c>
      <c r="F16" s="87">
        <v>0</v>
      </c>
      <c r="G16" s="87">
        <f>-16448-26316</f>
        <v>-42764</v>
      </c>
      <c r="H16" s="88">
        <f>SUM(C16:G16)</f>
        <v>-42764</v>
      </c>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row>
    <row r="17" spans="1:46" s="70" customFormat="1" ht="12.75">
      <c r="A17" s="82" t="s">
        <v>90</v>
      </c>
      <c r="C17" s="43">
        <f>C16</f>
        <v>0</v>
      </c>
      <c r="D17" s="43">
        <f>D16</f>
        <v>0</v>
      </c>
      <c r="E17" s="43">
        <v>0</v>
      </c>
      <c r="F17" s="43">
        <f>F16</f>
        <v>0</v>
      </c>
      <c r="G17" s="43">
        <f>G16</f>
        <v>-42764</v>
      </c>
      <c r="H17" s="43">
        <f>H16</f>
        <v>-42764</v>
      </c>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row>
    <row r="18" spans="1:46" s="70" customFormat="1" ht="8.25" customHeight="1">
      <c r="A18" s="73"/>
      <c r="C18" s="71"/>
      <c r="D18" s="71"/>
      <c r="E18" s="71"/>
      <c r="F18" s="71"/>
      <c r="G18" s="71"/>
      <c r="H18" s="43"/>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row>
    <row r="19" spans="1:46" s="59" customFormat="1" ht="13.5" thickBot="1">
      <c r="A19" s="39" t="s">
        <v>130</v>
      </c>
      <c r="C19" s="42">
        <f aca="true" t="shared" si="1" ref="C19:H19">C9+C13+C17</f>
        <v>65791</v>
      </c>
      <c r="D19" s="42">
        <f t="shared" si="1"/>
        <v>3772</v>
      </c>
      <c r="E19" s="42">
        <f t="shared" si="1"/>
        <v>55</v>
      </c>
      <c r="F19" s="42">
        <f t="shared" si="1"/>
        <v>-591</v>
      </c>
      <c r="G19" s="42">
        <f t="shared" si="1"/>
        <v>317217</v>
      </c>
      <c r="H19" s="42">
        <f t="shared" si="1"/>
        <v>386244</v>
      </c>
      <c r="I19" s="65"/>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row>
    <row r="20" ht="13.5" thickTop="1">
      <c r="H20" s="95">
        <f>H19-'Balance Sheet'!C35</f>
        <v>0</v>
      </c>
    </row>
    <row r="21" ht="12.75"/>
    <row r="22" spans="1:46" s="59" customFormat="1" ht="12.75">
      <c r="A22" s="39" t="s">
        <v>86</v>
      </c>
      <c r="C22" s="65">
        <v>65791</v>
      </c>
      <c r="D22" s="65">
        <v>3772</v>
      </c>
      <c r="E22" s="65">
        <v>0</v>
      </c>
      <c r="F22" s="65">
        <v>-1234</v>
      </c>
      <c r="G22" s="65">
        <v>271084</v>
      </c>
      <c r="H22" s="40">
        <f>SUM(C22:G22)</f>
        <v>339413</v>
      </c>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row>
    <row r="23" spans="1:46" s="59" customFormat="1" ht="12.75" hidden="1">
      <c r="A23" s="59" t="s">
        <v>91</v>
      </c>
      <c r="C23" s="58">
        <v>0</v>
      </c>
      <c r="D23" s="58">
        <v>0</v>
      </c>
      <c r="E23" s="58"/>
      <c r="F23" s="58">
        <v>0</v>
      </c>
      <c r="G23" s="58">
        <v>0</v>
      </c>
      <c r="H23" s="89">
        <f>SUM(C23:G23)</f>
        <v>0</v>
      </c>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row>
    <row r="24" spans="1:46" s="59" customFormat="1" ht="12.75" hidden="1">
      <c r="A24" s="39" t="s">
        <v>122</v>
      </c>
      <c r="C24" s="65">
        <f>SUM(C22:C23)</f>
        <v>65791</v>
      </c>
      <c r="D24" s="65">
        <f>SUM(D22:D23)</f>
        <v>3772</v>
      </c>
      <c r="E24" s="65"/>
      <c r="F24" s="65">
        <f>SUM(F22:F23)</f>
        <v>-1234</v>
      </c>
      <c r="G24" s="65">
        <f>SUM(G22:G23)</f>
        <v>271084</v>
      </c>
      <c r="H24" s="40">
        <f>SUM(H22:H23)</f>
        <v>339413</v>
      </c>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row>
    <row r="25" spans="1:46" s="59" customFormat="1" ht="6" customHeight="1">
      <c r="A25" s="39"/>
      <c r="C25" s="65"/>
      <c r="D25" s="65"/>
      <c r="E25" s="65"/>
      <c r="F25" s="65"/>
      <c r="G25" s="65"/>
      <c r="H25" s="40"/>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row>
    <row r="26" spans="1:46" s="70" customFormat="1" ht="12.75">
      <c r="A26" s="41" t="s">
        <v>87</v>
      </c>
      <c r="B26" s="67"/>
      <c r="C26" s="68">
        <v>0</v>
      </c>
      <c r="D26" s="68">
        <v>0</v>
      </c>
      <c r="E26" s="68">
        <v>0</v>
      </c>
      <c r="F26" s="68">
        <v>0</v>
      </c>
      <c r="G26" s="68">
        <f>'Income Stt'!G30</f>
        <v>44448</v>
      </c>
      <c r="H26" s="23">
        <f>SUM(C26:G26)</f>
        <v>44448</v>
      </c>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row>
    <row r="27" spans="1:46" s="70" customFormat="1" ht="12.75">
      <c r="A27" s="81" t="s">
        <v>49</v>
      </c>
      <c r="B27" s="72"/>
      <c r="C27" s="58">
        <v>0</v>
      </c>
      <c r="D27" s="58">
        <v>0</v>
      </c>
      <c r="E27" s="58">
        <v>0</v>
      </c>
      <c r="F27" s="58">
        <f>'Income Stt'!G26</f>
        <v>-670</v>
      </c>
      <c r="G27" s="58">
        <v>0</v>
      </c>
      <c r="H27" s="34">
        <f>SUM(C27:G27)</f>
        <v>-670</v>
      </c>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row>
    <row r="28" spans="1:46" s="70" customFormat="1" ht="12.75">
      <c r="A28" s="82" t="s">
        <v>88</v>
      </c>
      <c r="C28" s="43">
        <f>SUM(C26:C27)</f>
        <v>0</v>
      </c>
      <c r="D28" s="43">
        <f>SUM(D26:D27)</f>
        <v>0</v>
      </c>
      <c r="E28" s="43"/>
      <c r="F28" s="43">
        <f>SUM(F26:F27)</f>
        <v>-670</v>
      </c>
      <c r="G28" s="43">
        <f>SUM(G26:G27)</f>
        <v>44448</v>
      </c>
      <c r="H28" s="43">
        <f>SUM(H26:H27)</f>
        <v>43778</v>
      </c>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row>
    <row r="29" spans="1:46" s="70" customFormat="1" ht="12.75">
      <c r="A29" s="80"/>
      <c r="C29" s="71"/>
      <c r="D29" s="71"/>
      <c r="E29" s="71"/>
      <c r="F29" s="71"/>
      <c r="G29" s="71"/>
      <c r="H29" s="43"/>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row>
    <row r="30" spans="1:46" s="70" customFormat="1" ht="12.75">
      <c r="A30" s="82" t="s">
        <v>89</v>
      </c>
      <c r="C30" s="71"/>
      <c r="D30" s="71"/>
      <c r="E30" s="71"/>
      <c r="F30" s="71"/>
      <c r="G30" s="71"/>
      <c r="H30" s="43"/>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row>
    <row r="31" spans="1:46" s="70" customFormat="1" ht="12.75">
      <c r="A31" s="85" t="s">
        <v>74</v>
      </c>
      <c r="B31" s="86"/>
      <c r="C31" s="87">
        <v>0</v>
      </c>
      <c r="D31" s="87">
        <v>0</v>
      </c>
      <c r="E31" s="87">
        <v>0</v>
      </c>
      <c r="F31" s="87">
        <v>0</v>
      </c>
      <c r="G31" s="87">
        <f>-13158-13158</f>
        <v>-26316</v>
      </c>
      <c r="H31" s="88">
        <f>SUM(C31:G31)</f>
        <v>-26316</v>
      </c>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row>
    <row r="32" spans="1:46" s="70" customFormat="1" ht="12.75">
      <c r="A32" s="82" t="s">
        <v>90</v>
      </c>
      <c r="C32" s="43">
        <f>C31</f>
        <v>0</v>
      </c>
      <c r="D32" s="43">
        <f>D31</f>
        <v>0</v>
      </c>
      <c r="E32" s="43">
        <v>0</v>
      </c>
      <c r="F32" s="43">
        <f>F31</f>
        <v>0</v>
      </c>
      <c r="G32" s="43">
        <f>G31</f>
        <v>-26316</v>
      </c>
      <c r="H32" s="43">
        <f>H31</f>
        <v>-26316</v>
      </c>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row>
    <row r="33" spans="1:46" s="70" customFormat="1" ht="7.5" customHeight="1">
      <c r="A33" s="74"/>
      <c r="C33" s="71"/>
      <c r="D33" s="71"/>
      <c r="E33" s="71"/>
      <c r="F33" s="71"/>
      <c r="G33" s="71"/>
      <c r="H33" s="40"/>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row>
    <row r="34" spans="1:46" s="59" customFormat="1" ht="13.5" thickBot="1">
      <c r="A34" s="39" t="s">
        <v>131</v>
      </c>
      <c r="C34" s="42">
        <f>C24+C28+C32</f>
        <v>65791</v>
      </c>
      <c r="D34" s="42">
        <f>D24+D28+D32</f>
        <v>3772</v>
      </c>
      <c r="E34" s="42">
        <v>0</v>
      </c>
      <c r="F34" s="42">
        <f>F24+F28+F32</f>
        <v>-1904</v>
      </c>
      <c r="G34" s="42">
        <f>G24+G28+G32</f>
        <v>289216</v>
      </c>
      <c r="H34" s="42">
        <f>H24+H28+H32</f>
        <v>356875</v>
      </c>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row>
    <row r="35" spans="8:9" ht="13.5" thickTop="1">
      <c r="H35" s="101">
        <v>358035</v>
      </c>
      <c r="I35" s="100">
        <f>H34-H35</f>
        <v>-1160</v>
      </c>
    </row>
    <row r="36" ht="12.75"/>
    <row r="37" ht="12.75"/>
    <row r="38" ht="12.75"/>
    <row r="39" ht="12.75"/>
    <row r="40" spans="1:8" ht="32.25" customHeight="1">
      <c r="A40" s="104" t="s">
        <v>124</v>
      </c>
      <c r="B40" s="104"/>
      <c r="C40" s="104"/>
      <c r="D40" s="104"/>
      <c r="E40" s="104"/>
      <c r="F40" s="104"/>
      <c r="G40" s="104"/>
      <c r="H40" s="104"/>
    </row>
  </sheetData>
  <sheetProtection/>
  <mergeCells count="4">
    <mergeCell ref="D6:F6"/>
    <mergeCell ref="C5:G5"/>
    <mergeCell ref="H5:H7"/>
    <mergeCell ref="A40:H40"/>
  </mergeCells>
  <conditionalFormatting sqref="H20 H35">
    <cfRule type="cellIs" priority="1" dxfId="2" operator="equal" stopIfTrue="1">
      <formula>0</formula>
    </cfRule>
  </conditionalFormatting>
  <printOptions horizontalCentered="1" verticalCentered="1"/>
  <pageMargins left="0.5905511811023623" right="0" top="0.3937007874015748" bottom="0.1968503937007874" header="0.35433070866141736" footer="0.31496062992125984"/>
  <pageSetup fitToHeight="1" fitToWidth="1" horizontalDpi="600" verticalDpi="600" orientation="landscape" paperSize="9"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J67"/>
  <sheetViews>
    <sheetView zoomScalePageLayoutView="0" workbookViewId="0" topLeftCell="A1">
      <pane xSplit="2" ySplit="7" topLeftCell="C8" activePane="bottomRight" state="frozen"/>
      <selection pane="topLeft" activeCell="F37" sqref="F37"/>
      <selection pane="topRight" activeCell="F37" sqref="F37"/>
      <selection pane="bottomLeft" activeCell="F37" sqref="F37"/>
      <selection pane="bottomRight" activeCell="A1" sqref="A1"/>
    </sheetView>
  </sheetViews>
  <sheetFormatPr defaultColWidth="9.33203125" defaultRowHeight="12.75"/>
  <cols>
    <col min="1" max="1" width="51.33203125" style="19" customWidth="1"/>
    <col min="2" max="2" width="3" style="57" customWidth="1"/>
    <col min="3" max="4" width="23.16015625" style="49" customWidth="1"/>
    <col min="5" max="16384" width="9.33203125" style="19" customWidth="1"/>
  </cols>
  <sheetData>
    <row r="1" spans="1:36" ht="16.5">
      <c r="A1" s="2" t="s">
        <v>32</v>
      </c>
      <c r="B1" s="3"/>
      <c r="D1" s="56" t="str">
        <f>'Income Stt'!G1</f>
        <v>Date : 26 · 02 · 2014</v>
      </c>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row>
    <row r="2" spans="1:36" ht="13.5">
      <c r="A2" s="6" t="s">
        <v>61</v>
      </c>
      <c r="B2" s="3"/>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row>
    <row r="3" spans="1:36" ht="13.5">
      <c r="A3" s="6" t="s">
        <v>132</v>
      </c>
      <c r="B3" s="3"/>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row>
    <row r="5" spans="3:4" ht="12.75">
      <c r="C5" s="107" t="str">
        <f>'Income Stt'!F5</f>
        <v>6 months ended</v>
      </c>
      <c r="D5" s="107"/>
    </row>
    <row r="6" spans="2:4" ht="12.75">
      <c r="B6" s="3"/>
      <c r="C6" s="13">
        <f>'Income Stt'!F6</f>
        <v>41639</v>
      </c>
      <c r="D6" s="13">
        <f>'Income Stt'!G6</f>
        <v>41274</v>
      </c>
    </row>
    <row r="7" spans="3:4" ht="25.5">
      <c r="C7" s="21" t="s">
        <v>1</v>
      </c>
      <c r="D7" s="22" t="s">
        <v>62</v>
      </c>
    </row>
    <row r="8" ht="3.75" customHeight="1">
      <c r="D8" s="20"/>
    </row>
    <row r="9" ht="12.75">
      <c r="A9" s="11" t="s">
        <v>37</v>
      </c>
    </row>
    <row r="10" spans="1:4" ht="12.75">
      <c r="A10" s="19" t="s">
        <v>5</v>
      </c>
      <c r="C10" s="49">
        <f>'Income Stt'!F18</f>
        <v>78198</v>
      </c>
      <c r="D10" s="49">
        <f>'Income Stt'!G18</f>
        <v>61646</v>
      </c>
    </row>
    <row r="12" ht="12.75">
      <c r="A12" s="11" t="s">
        <v>38</v>
      </c>
    </row>
    <row r="13" spans="1:4" ht="12.75">
      <c r="A13" s="19" t="s">
        <v>104</v>
      </c>
      <c r="C13" s="49">
        <f>10102+351-417</f>
        <v>10036</v>
      </c>
      <c r="D13" s="49">
        <f>10939+(820.042/4)*2</f>
        <v>11349.021</v>
      </c>
    </row>
    <row r="14" spans="1:4" ht="12.75">
      <c r="A14" s="19" t="s">
        <v>96</v>
      </c>
      <c r="C14" s="49">
        <v>442</v>
      </c>
      <c r="D14" s="49">
        <v>0</v>
      </c>
    </row>
    <row r="15" spans="1:3" ht="12.75" hidden="1">
      <c r="A15" s="19" t="s">
        <v>97</v>
      </c>
      <c r="C15" s="49">
        <v>0</v>
      </c>
    </row>
    <row r="16" spans="1:4" ht="12.75">
      <c r="A16" s="19" t="s">
        <v>98</v>
      </c>
      <c r="C16" s="49">
        <v>-131</v>
      </c>
      <c r="D16" s="49">
        <v>0</v>
      </c>
    </row>
    <row r="17" spans="1:4" ht="12.75">
      <c r="A17" s="19" t="s">
        <v>43</v>
      </c>
      <c r="C17" s="49">
        <v>-2349</v>
      </c>
      <c r="D17" s="49">
        <v>-1034</v>
      </c>
    </row>
    <row r="18" spans="1:4" ht="12.75">
      <c r="A18" s="19" t="s">
        <v>99</v>
      </c>
      <c r="C18" s="49">
        <f>(41.712-41.494)*0</f>
        <v>0</v>
      </c>
      <c r="D18" s="49">
        <v>84</v>
      </c>
    </row>
    <row r="19" spans="1:4" ht="12.75">
      <c r="A19" s="19" t="s">
        <v>100</v>
      </c>
      <c r="C19" s="49">
        <f>-48+12</f>
        <v>-36</v>
      </c>
      <c r="D19" s="96">
        <v>-109</v>
      </c>
    </row>
    <row r="20" spans="1:4" ht="12.75">
      <c r="A20" s="19" t="s">
        <v>41</v>
      </c>
      <c r="C20" s="49">
        <v>851</v>
      </c>
      <c r="D20" s="49">
        <v>796</v>
      </c>
    </row>
    <row r="21" spans="1:4" ht="12.75">
      <c r="A21" s="19" t="s">
        <v>127</v>
      </c>
      <c r="C21" s="49">
        <v>276</v>
      </c>
      <c r="D21" s="49">
        <f>+(424.248/4)*2</f>
        <v>212.124</v>
      </c>
    </row>
    <row r="22" spans="1:4" ht="12.75">
      <c r="A22" s="19" t="s">
        <v>103</v>
      </c>
      <c r="C22" s="49">
        <f>63+17-20</f>
        <v>60</v>
      </c>
      <c r="D22" s="49">
        <v>0</v>
      </c>
    </row>
    <row r="23" ht="12.75" hidden="1">
      <c r="A23" s="19" t="s">
        <v>102</v>
      </c>
    </row>
    <row r="24" ht="12.75" hidden="1">
      <c r="A24" s="19" t="s">
        <v>101</v>
      </c>
    </row>
    <row r="25" spans="1:4" ht="12.75">
      <c r="A25" s="90" t="s">
        <v>105</v>
      </c>
      <c r="C25" s="49">
        <v>3697</v>
      </c>
      <c r="D25" s="49">
        <f>1961+2741</f>
        <v>4702</v>
      </c>
    </row>
    <row r="26" spans="1:4" ht="12.75">
      <c r="A26" s="91" t="s">
        <v>107</v>
      </c>
      <c r="C26" s="49">
        <v>-188</v>
      </c>
      <c r="D26" s="49">
        <f>367+553</f>
        <v>920</v>
      </c>
    </row>
    <row r="27" spans="1:4" ht="12.75">
      <c r="A27" s="90" t="s">
        <v>106</v>
      </c>
      <c r="C27" s="49">
        <v>544</v>
      </c>
      <c r="D27" s="49">
        <f>518+191</f>
        <v>709</v>
      </c>
    </row>
    <row r="28" spans="3:4" ht="12.75">
      <c r="C28" s="51"/>
      <c r="D28" s="51"/>
    </row>
    <row r="29" spans="1:4" ht="12.75">
      <c r="A29" s="19" t="s">
        <v>108</v>
      </c>
      <c r="C29" s="49">
        <f>SUM(C10:C28)</f>
        <v>91400</v>
      </c>
      <c r="D29" s="49">
        <f>SUM(D10:D28)</f>
        <v>79275.145</v>
      </c>
    </row>
    <row r="31" spans="1:4" ht="12.75">
      <c r="A31" s="19" t="s">
        <v>14</v>
      </c>
      <c r="C31" s="49">
        <f>'Balance Sheet'!D19-'Balance Sheet'!C19-C25-C26-C27</f>
        <v>-92087</v>
      </c>
      <c r="D31" s="49">
        <v>25669</v>
      </c>
    </row>
    <row r="32" spans="1:4" ht="12.75">
      <c r="A32" s="19" t="s">
        <v>39</v>
      </c>
      <c r="C32" s="49">
        <v>-12655</v>
      </c>
      <c r="D32" s="49">
        <v>449</v>
      </c>
    </row>
    <row r="33" spans="1:4" ht="12.75">
      <c r="A33" s="19" t="s">
        <v>40</v>
      </c>
      <c r="C33" s="49">
        <f>64640-320+219-135</f>
        <v>64404</v>
      </c>
      <c r="D33" s="49">
        <f>22207-294+184</f>
        <v>22097</v>
      </c>
    </row>
    <row r="34" spans="1:4" ht="12.75">
      <c r="A34" s="46"/>
      <c r="C34" s="58"/>
      <c r="D34" s="58"/>
    </row>
    <row r="35" spans="1:4" ht="12.75">
      <c r="A35" s="19" t="s">
        <v>56</v>
      </c>
      <c r="C35" s="49">
        <f>SUM(C29:C34)</f>
        <v>51062</v>
      </c>
      <c r="D35" s="49">
        <f>SUM(D29:D34)</f>
        <v>127490.145</v>
      </c>
    </row>
    <row r="37" spans="1:4" ht="12.75">
      <c r="A37" s="19" t="s">
        <v>109</v>
      </c>
      <c r="C37" s="49">
        <f>-C20</f>
        <v>-851</v>
      </c>
      <c r="D37" s="49">
        <f>-D20</f>
        <v>-796</v>
      </c>
    </row>
    <row r="38" spans="1:4" ht="12.75">
      <c r="A38" s="19" t="s">
        <v>110</v>
      </c>
      <c r="C38" s="49">
        <v>-12564</v>
      </c>
      <c r="D38" s="49">
        <v>-13100</v>
      </c>
    </row>
    <row r="39" spans="1:3" ht="12.75" hidden="1">
      <c r="A39" s="19" t="s">
        <v>73</v>
      </c>
      <c r="C39" s="49">
        <v>0</v>
      </c>
    </row>
    <row r="41" spans="1:4" ht="13.5" thickBot="1">
      <c r="A41" s="11" t="s">
        <v>111</v>
      </c>
      <c r="C41" s="60">
        <f>SUM(C35:C40)</f>
        <v>37647</v>
      </c>
      <c r="D41" s="60">
        <f>SUM(D35:D40)</f>
        <v>113594.145</v>
      </c>
    </row>
    <row r="43" ht="12.75">
      <c r="A43" s="11" t="s">
        <v>42</v>
      </c>
    </row>
    <row r="44" spans="1:4" ht="12.75">
      <c r="A44" s="19" t="s">
        <v>112</v>
      </c>
      <c r="C44" s="49">
        <v>0</v>
      </c>
      <c r="D44" s="49">
        <v>0</v>
      </c>
    </row>
    <row r="45" spans="1:4" ht="12.75">
      <c r="A45" s="19" t="s">
        <v>113</v>
      </c>
      <c r="C45" s="49">
        <v>0</v>
      </c>
      <c r="D45" s="49">
        <v>-10001</v>
      </c>
    </row>
    <row r="46" spans="1:4" ht="12.75">
      <c r="A46" s="19" t="s">
        <v>114</v>
      </c>
      <c r="C46" s="49">
        <v>4</v>
      </c>
      <c r="D46" s="49">
        <v>0</v>
      </c>
    </row>
    <row r="47" spans="1:4" ht="12.75">
      <c r="A47" s="19" t="s">
        <v>115</v>
      </c>
      <c r="C47" s="49">
        <f>-C17</f>
        <v>2349</v>
      </c>
      <c r="D47" s="49">
        <f>-D17</f>
        <v>1034</v>
      </c>
    </row>
    <row r="48" spans="1:4" ht="12.75">
      <c r="A48" s="19" t="s">
        <v>116</v>
      </c>
      <c r="C48" s="49">
        <f>-12488-428</f>
        <v>-12916</v>
      </c>
      <c r="D48" s="49">
        <v>-10809</v>
      </c>
    </row>
    <row r="50" spans="1:4" ht="13.5" thickBot="1">
      <c r="A50" s="11" t="s">
        <v>117</v>
      </c>
      <c r="C50" s="60">
        <f>SUM(C44:C49)</f>
        <v>-10563</v>
      </c>
      <c r="D50" s="60">
        <f>SUM(D44:D49)</f>
        <v>-19776</v>
      </c>
    </row>
    <row r="52" ht="12.75">
      <c r="A52" s="11" t="s">
        <v>44</v>
      </c>
    </row>
    <row r="53" spans="1:4" ht="12.75">
      <c r="A53" s="19" t="s">
        <v>74</v>
      </c>
      <c r="C53" s="49">
        <f>'Changes in Equity'!G16</f>
        <v>-42764</v>
      </c>
      <c r="D53" s="49">
        <f>-13158-13158</f>
        <v>-26316</v>
      </c>
    </row>
    <row r="54" spans="1:4" ht="12.75">
      <c r="A54" s="19" t="s">
        <v>45</v>
      </c>
      <c r="C54" s="49">
        <f>62716-40072</f>
        <v>22644</v>
      </c>
      <c r="D54" s="49">
        <v>-15701</v>
      </c>
    </row>
    <row r="55" spans="1:4" ht="12.75">
      <c r="A55" s="19" t="s">
        <v>118</v>
      </c>
      <c r="C55" s="49">
        <v>-1206</v>
      </c>
      <c r="D55" s="49">
        <v>-1155</v>
      </c>
    </row>
    <row r="56" spans="1:4" ht="12.75">
      <c r="A56" s="19" t="s">
        <v>134</v>
      </c>
      <c r="C56" s="49">
        <v>503</v>
      </c>
      <c r="D56" s="49">
        <v>460</v>
      </c>
    </row>
    <row r="57" spans="1:4" ht="12.75">
      <c r="A57" s="19" t="s">
        <v>119</v>
      </c>
      <c r="C57" s="49">
        <v>-138</v>
      </c>
      <c r="D57" s="49">
        <v>-204</v>
      </c>
    </row>
    <row r="59" spans="1:4" ht="13.5" thickBot="1">
      <c r="A59" s="11" t="s">
        <v>57</v>
      </c>
      <c r="C59" s="60">
        <f>SUM(C53:C58)</f>
        <v>-20961</v>
      </c>
      <c r="D59" s="60">
        <f>SUM(D53:D58)</f>
        <v>-42916</v>
      </c>
    </row>
    <row r="61" spans="1:4" ht="12.75">
      <c r="A61" s="19" t="s">
        <v>59</v>
      </c>
      <c r="C61" s="49">
        <f>SUM(C41,C50,C59)</f>
        <v>6123</v>
      </c>
      <c r="D61" s="49">
        <f>SUM(D41,D50,D59)</f>
        <v>50902.145000000004</v>
      </c>
    </row>
    <row r="62" spans="1:4" ht="18" customHeight="1">
      <c r="A62" s="19" t="s">
        <v>46</v>
      </c>
      <c r="C62" s="51">
        <v>547</v>
      </c>
      <c r="D62" s="51">
        <f>-119-551</f>
        <v>-670</v>
      </c>
    </row>
    <row r="63" spans="3:4" ht="12.75">
      <c r="C63" s="49">
        <f>SUM(C61:C62)</f>
        <v>6670</v>
      </c>
      <c r="D63" s="49">
        <f>SUM(D61:D62)</f>
        <v>50232.145000000004</v>
      </c>
    </row>
    <row r="64" spans="1:4" ht="18" customHeight="1">
      <c r="A64" s="19" t="s">
        <v>47</v>
      </c>
      <c r="C64" s="49">
        <f>'Balance Sheet'!D24</f>
        <v>206226</v>
      </c>
      <c r="D64" s="49">
        <v>137612</v>
      </c>
    </row>
    <row r="65" spans="1:4" ht="13.5" thickBot="1">
      <c r="A65" s="19" t="s">
        <v>48</v>
      </c>
      <c r="C65" s="61">
        <f>SUM(C63:C64)</f>
        <v>212896</v>
      </c>
      <c r="D65" s="61">
        <f>SUM(D63:D64)</f>
        <v>187844.14500000002</v>
      </c>
    </row>
    <row r="66" spans="3:4" ht="13.5" thickTop="1">
      <c r="C66" s="92">
        <f>C65-'Balance Sheet'!C24</f>
        <v>0</v>
      </c>
      <c r="D66" s="92"/>
    </row>
    <row r="67" spans="1:4" ht="51" customHeight="1">
      <c r="A67" s="108" t="s">
        <v>125</v>
      </c>
      <c r="B67" s="108"/>
      <c r="C67" s="108"/>
      <c r="D67" s="108"/>
    </row>
  </sheetData>
  <sheetProtection/>
  <mergeCells count="2">
    <mergeCell ref="C5:D5"/>
    <mergeCell ref="A67:D67"/>
  </mergeCells>
  <printOptions horizontalCentered="1" verticalCentered="1"/>
  <pageMargins left="0.5905511811023623" right="0" top="0.5118110236220472" bottom="0.7874015748031497" header="0.35433070866141736" footer="0.31496062992125984"/>
  <pageSetup fitToHeight="1"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 Yeo, Megan</dc:creator>
  <cp:keywords/>
  <dc:description/>
  <cp:lastModifiedBy>KHCHAN</cp:lastModifiedBy>
  <cp:lastPrinted>2014-02-26T05:25:51Z</cp:lastPrinted>
  <dcterms:created xsi:type="dcterms:W3CDTF">2006-11-03T10:09:35Z</dcterms:created>
  <dcterms:modified xsi:type="dcterms:W3CDTF">2014-02-26T06:25:26Z</dcterms:modified>
  <cp:category/>
  <cp:version/>
  <cp:contentType/>
  <cp:contentStatus/>
</cp:coreProperties>
</file>